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firstSheet="3" activeTab="8"/>
  </bookViews>
  <sheets>
    <sheet name="H31.1" sheetId="1" r:id="rId1"/>
    <sheet name="H31.2" sheetId="2" r:id="rId2"/>
    <sheet name="H31.3" sheetId="11" r:id="rId3"/>
    <sheet name="H31.4" sheetId="7" r:id="rId4"/>
    <sheet name="R1.5" sheetId="9" r:id="rId5"/>
    <sheet name="R1.6" sheetId="12" r:id="rId6"/>
    <sheet name="R1.7" sheetId="14" r:id="rId7"/>
    <sheet name="R1.8" sheetId="15" r:id="rId8"/>
    <sheet name="R1.9" sheetId="16" r:id="rId9"/>
    <sheet name="R1.10" sheetId="18" r:id="rId10"/>
    <sheet name="R1.11" sheetId="19" r:id="rId11"/>
    <sheet name="R1.12" sheetId="20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3" i="20" l="1"/>
  <c r="B113" i="20"/>
  <c r="D113" i="20" s="1"/>
  <c r="C112" i="20"/>
  <c r="B112" i="20"/>
  <c r="D112" i="20" s="1"/>
  <c r="D111" i="20"/>
  <c r="C111" i="20"/>
  <c r="B111" i="20"/>
  <c r="C110" i="20"/>
  <c r="D110" i="20" s="1"/>
  <c r="B110" i="20"/>
  <c r="C109" i="20"/>
  <c r="B109" i="20"/>
  <c r="D109" i="20" s="1"/>
  <c r="C108" i="20"/>
  <c r="B108" i="20"/>
  <c r="D108" i="20" s="1"/>
  <c r="D107" i="20"/>
  <c r="C107" i="20"/>
  <c r="B107" i="20"/>
  <c r="D106" i="20"/>
  <c r="C106" i="20"/>
  <c r="B106" i="20"/>
  <c r="D105" i="20"/>
  <c r="C105" i="20"/>
  <c r="B105" i="20"/>
  <c r="D104" i="20"/>
  <c r="C104" i="20"/>
  <c r="B104" i="20"/>
  <c r="D103" i="20"/>
  <c r="C103" i="20"/>
  <c r="B103" i="20"/>
  <c r="D102" i="20"/>
  <c r="C102" i="20"/>
  <c r="B102" i="20"/>
  <c r="D101" i="20"/>
  <c r="C101" i="20"/>
  <c r="B101" i="20"/>
  <c r="D100" i="20"/>
  <c r="C100" i="20"/>
  <c r="B100" i="20"/>
  <c r="D99" i="20"/>
  <c r="C99" i="20"/>
  <c r="B99" i="20"/>
  <c r="D98" i="20"/>
  <c r="C98" i="20"/>
  <c r="B98" i="20"/>
  <c r="D97" i="20"/>
  <c r="C97" i="20"/>
  <c r="B97" i="20"/>
  <c r="D96" i="20"/>
  <c r="C96" i="20"/>
  <c r="B96" i="20"/>
  <c r="D95" i="20"/>
  <c r="C95" i="20"/>
  <c r="B95" i="20"/>
  <c r="D94" i="20"/>
  <c r="C94" i="20"/>
  <c r="B94" i="20"/>
  <c r="D93" i="20"/>
  <c r="C93" i="20"/>
  <c r="B93" i="20"/>
  <c r="D92" i="20"/>
  <c r="C92" i="20"/>
  <c r="B92" i="20"/>
  <c r="D91" i="20"/>
  <c r="C91" i="20"/>
  <c r="B91" i="20"/>
  <c r="D90" i="20"/>
  <c r="C90" i="20"/>
  <c r="B90" i="20"/>
  <c r="D89" i="20"/>
  <c r="C89" i="20"/>
  <c r="B89" i="20"/>
  <c r="D88" i="20"/>
  <c r="C88" i="20"/>
  <c r="B88" i="20"/>
  <c r="D87" i="20"/>
  <c r="C87" i="20"/>
  <c r="B87" i="20"/>
  <c r="D86" i="20"/>
  <c r="C86" i="20"/>
  <c r="B86" i="20"/>
  <c r="D85" i="20"/>
  <c r="C85" i="20"/>
  <c r="B85" i="20"/>
  <c r="D84" i="20"/>
  <c r="C84" i="20"/>
  <c r="B84" i="20"/>
  <c r="D83" i="20"/>
  <c r="C83" i="20"/>
  <c r="B83" i="20"/>
  <c r="D82" i="20"/>
  <c r="C82" i="20"/>
  <c r="B82" i="20"/>
  <c r="D81" i="20"/>
  <c r="C81" i="20"/>
  <c r="B81" i="20"/>
  <c r="D80" i="20"/>
  <c r="C80" i="20"/>
  <c r="B80" i="20"/>
  <c r="D79" i="20"/>
  <c r="C79" i="20"/>
  <c r="B79" i="20"/>
  <c r="D78" i="20"/>
  <c r="C78" i="20"/>
  <c r="B78" i="20"/>
  <c r="D77" i="20"/>
  <c r="C77" i="20"/>
  <c r="B77" i="20"/>
  <c r="D76" i="20"/>
  <c r="C76" i="20"/>
  <c r="B76" i="20"/>
  <c r="D75" i="20"/>
  <c r="C75" i="20"/>
  <c r="B75" i="20"/>
  <c r="D74" i="20"/>
  <c r="C74" i="20"/>
  <c r="B74" i="20"/>
  <c r="D73" i="20"/>
  <c r="C73" i="20"/>
  <c r="C131" i="20" s="1"/>
  <c r="B73" i="20"/>
  <c r="B131" i="20" s="1"/>
  <c r="D72" i="20"/>
  <c r="C72" i="20"/>
  <c r="B72" i="20"/>
  <c r="D71" i="20"/>
  <c r="C71" i="20"/>
  <c r="B71" i="20"/>
  <c r="D70" i="20"/>
  <c r="C70" i="20"/>
  <c r="C130" i="20" s="1"/>
  <c r="B70" i="20"/>
  <c r="D69" i="20"/>
  <c r="C69" i="20"/>
  <c r="B69" i="20"/>
  <c r="D68" i="20"/>
  <c r="C68" i="20"/>
  <c r="B68" i="20"/>
  <c r="B130" i="20" s="1"/>
  <c r="D67" i="20"/>
  <c r="C67" i="20"/>
  <c r="B67" i="20"/>
  <c r="D66" i="20"/>
  <c r="C66" i="20"/>
  <c r="B66" i="20"/>
  <c r="D65" i="20"/>
  <c r="C65" i="20"/>
  <c r="B65" i="20"/>
  <c r="D64" i="20"/>
  <c r="C64" i="20"/>
  <c r="B64" i="20"/>
  <c r="D63" i="20"/>
  <c r="C63" i="20"/>
  <c r="B63" i="20"/>
  <c r="D62" i="20"/>
  <c r="C62" i="20"/>
  <c r="B62" i="20"/>
  <c r="D61" i="20"/>
  <c r="C61" i="20"/>
  <c r="B61" i="20"/>
  <c r="D60" i="20"/>
  <c r="C60" i="20"/>
  <c r="B60" i="20"/>
  <c r="D59" i="20"/>
  <c r="C59" i="20"/>
  <c r="B59" i="20"/>
  <c r="D58" i="20"/>
  <c r="C58" i="20"/>
  <c r="B58" i="20"/>
  <c r="D57" i="20"/>
  <c r="C57" i="20"/>
  <c r="B57" i="20"/>
  <c r="D56" i="20"/>
  <c r="C56" i="20"/>
  <c r="B56" i="20"/>
  <c r="D55" i="20"/>
  <c r="C55" i="20"/>
  <c r="B55" i="20"/>
  <c r="D54" i="20"/>
  <c r="C54" i="20"/>
  <c r="B54" i="20"/>
  <c r="D53" i="20"/>
  <c r="C53" i="20"/>
  <c r="C126" i="20" s="1"/>
  <c r="B53" i="20"/>
  <c r="B126" i="20" s="1"/>
  <c r="D52" i="20"/>
  <c r="C52" i="20"/>
  <c r="B52" i="20"/>
  <c r="D51" i="20"/>
  <c r="C51" i="20"/>
  <c r="B51" i="20"/>
  <c r="D50" i="20"/>
  <c r="C50" i="20"/>
  <c r="B50" i="20"/>
  <c r="D49" i="20"/>
  <c r="C49" i="20"/>
  <c r="B49" i="20"/>
  <c r="D48" i="20"/>
  <c r="C48" i="20"/>
  <c r="B48" i="20"/>
  <c r="D47" i="20"/>
  <c r="C47" i="20"/>
  <c r="B47" i="20"/>
  <c r="D46" i="20"/>
  <c r="C46" i="20"/>
  <c r="B46" i="20"/>
  <c r="D45" i="20"/>
  <c r="C45" i="20"/>
  <c r="B45" i="20"/>
  <c r="D44" i="20"/>
  <c r="C44" i="20"/>
  <c r="B44" i="20"/>
  <c r="D43" i="20"/>
  <c r="C43" i="20"/>
  <c r="C125" i="20" s="1"/>
  <c r="B43" i="20"/>
  <c r="B125" i="20" s="1"/>
  <c r="D125" i="20" s="1"/>
  <c r="D42" i="20"/>
  <c r="C42" i="20"/>
  <c r="B42" i="20"/>
  <c r="D41" i="20"/>
  <c r="C41" i="20"/>
  <c r="B41" i="20"/>
  <c r="D40" i="20"/>
  <c r="C40" i="20"/>
  <c r="B40" i="20"/>
  <c r="D39" i="20"/>
  <c r="C39" i="20"/>
  <c r="B39" i="20"/>
  <c r="D38" i="20"/>
  <c r="C38" i="20"/>
  <c r="B38" i="20"/>
  <c r="D37" i="20"/>
  <c r="C37" i="20"/>
  <c r="B37" i="20"/>
  <c r="D36" i="20"/>
  <c r="C36" i="20"/>
  <c r="B36" i="20"/>
  <c r="D35" i="20"/>
  <c r="C35" i="20"/>
  <c r="B35" i="20"/>
  <c r="D34" i="20"/>
  <c r="C34" i="20"/>
  <c r="B34" i="20"/>
  <c r="D33" i="20"/>
  <c r="C33" i="20"/>
  <c r="C124" i="20" s="1"/>
  <c r="B33" i="20"/>
  <c r="B124" i="20" s="1"/>
  <c r="D32" i="20"/>
  <c r="C32" i="20"/>
  <c r="B32" i="20"/>
  <c r="D31" i="20"/>
  <c r="C31" i="20"/>
  <c r="B31" i="20"/>
  <c r="D30" i="20"/>
  <c r="C30" i="20"/>
  <c r="B30" i="20"/>
  <c r="D29" i="20"/>
  <c r="C29" i="20"/>
  <c r="B29" i="20"/>
  <c r="D28" i="20"/>
  <c r="C28" i="20"/>
  <c r="B28" i="20"/>
  <c r="D27" i="20"/>
  <c r="C27" i="20"/>
  <c r="B27" i="20"/>
  <c r="D26" i="20"/>
  <c r="C26" i="20"/>
  <c r="B26" i="20"/>
  <c r="D25" i="20"/>
  <c r="C25" i="20"/>
  <c r="B25" i="20"/>
  <c r="D24" i="20"/>
  <c r="C24" i="20"/>
  <c r="B24" i="20"/>
  <c r="D23" i="20"/>
  <c r="C23" i="20"/>
  <c r="B23" i="20"/>
  <c r="D22" i="20"/>
  <c r="C22" i="20"/>
  <c r="B22" i="20"/>
  <c r="D21" i="20"/>
  <c r="C21" i="20"/>
  <c r="C123" i="20" s="1"/>
  <c r="B21" i="20"/>
  <c r="B123" i="20" s="1"/>
  <c r="D20" i="20"/>
  <c r="C20" i="20"/>
  <c r="B20" i="20"/>
  <c r="D19" i="20"/>
  <c r="C19" i="20"/>
  <c r="B19" i="20"/>
  <c r="D18" i="20"/>
  <c r="C18" i="20"/>
  <c r="C122" i="20" s="1"/>
  <c r="B18" i="20"/>
  <c r="B122" i="20" s="1"/>
  <c r="D17" i="20"/>
  <c r="C17" i="20"/>
  <c r="B17" i="20"/>
  <c r="D16" i="20"/>
  <c r="C16" i="20"/>
  <c r="B16" i="20"/>
  <c r="D15" i="20"/>
  <c r="C15" i="20"/>
  <c r="C118" i="20" s="1"/>
  <c r="B15" i="20"/>
  <c r="B118" i="20" s="1"/>
  <c r="D118" i="20" s="1"/>
  <c r="D14" i="20"/>
  <c r="C14" i="20"/>
  <c r="B14" i="20"/>
  <c r="D13" i="20"/>
  <c r="C13" i="20"/>
  <c r="B13" i="20"/>
  <c r="D12" i="20"/>
  <c r="C12" i="20"/>
  <c r="B12" i="20"/>
  <c r="D11" i="20"/>
  <c r="C11" i="20"/>
  <c r="B11" i="20"/>
  <c r="D10" i="20"/>
  <c r="C10" i="20"/>
  <c r="B10" i="20"/>
  <c r="D9" i="20"/>
  <c r="C9" i="20"/>
  <c r="C117" i="20" s="1"/>
  <c r="B9" i="20"/>
  <c r="B117" i="20" s="1"/>
  <c r="D8" i="20"/>
  <c r="C8" i="20"/>
  <c r="B8" i="20"/>
  <c r="D7" i="20"/>
  <c r="C7" i="20"/>
  <c r="B7" i="20"/>
  <c r="D6" i="20"/>
  <c r="C6" i="20"/>
  <c r="B6" i="20"/>
  <c r="D5" i="20"/>
  <c r="C5" i="20"/>
  <c r="B5" i="20"/>
  <c r="D4" i="20"/>
  <c r="C4" i="20"/>
  <c r="B4" i="20"/>
  <c r="D3" i="20"/>
  <c r="C3" i="20"/>
  <c r="C135" i="20" s="1"/>
  <c r="B3" i="20"/>
  <c r="B116" i="20" s="1"/>
  <c r="A1" i="20"/>
  <c r="B132" i="20" l="1"/>
  <c r="D130" i="20"/>
  <c r="D132" i="20" s="1"/>
  <c r="D116" i="20"/>
  <c r="B119" i="20"/>
  <c r="B127" i="20"/>
  <c r="D122" i="20"/>
  <c r="D117" i="20"/>
  <c r="C127" i="20"/>
  <c r="D123" i="20"/>
  <c r="D124" i="20"/>
  <c r="D126" i="20"/>
  <c r="C132" i="20"/>
  <c r="D131" i="20"/>
  <c r="C116" i="20"/>
  <c r="C119" i="20" s="1"/>
  <c r="B135" i="20"/>
  <c r="D135" i="20" s="1"/>
  <c r="C113" i="19"/>
  <c r="B113" i="19"/>
  <c r="D113" i="19" s="1"/>
  <c r="C112" i="19"/>
  <c r="B112" i="19"/>
  <c r="D112" i="19" s="1"/>
  <c r="C111" i="19"/>
  <c r="B111" i="19"/>
  <c r="D111" i="19" s="1"/>
  <c r="C110" i="19"/>
  <c r="B110" i="19"/>
  <c r="C109" i="19"/>
  <c r="B109" i="19"/>
  <c r="C108" i="19"/>
  <c r="B108" i="19"/>
  <c r="D107" i="19"/>
  <c r="C107" i="19"/>
  <c r="B107" i="19"/>
  <c r="D106" i="19"/>
  <c r="C106" i="19"/>
  <c r="B106" i="19"/>
  <c r="D105" i="19"/>
  <c r="C105" i="19"/>
  <c r="B105" i="19"/>
  <c r="D104" i="19"/>
  <c r="C104" i="19"/>
  <c r="B104" i="19"/>
  <c r="D103" i="19"/>
  <c r="C103" i="19"/>
  <c r="B103" i="19"/>
  <c r="D102" i="19"/>
  <c r="C102" i="19"/>
  <c r="B102" i="19"/>
  <c r="D101" i="19"/>
  <c r="C101" i="19"/>
  <c r="B101" i="19"/>
  <c r="D100" i="19"/>
  <c r="C100" i="19"/>
  <c r="B100" i="19"/>
  <c r="D99" i="19"/>
  <c r="C99" i="19"/>
  <c r="B99" i="19"/>
  <c r="D98" i="19"/>
  <c r="C98" i="19"/>
  <c r="B98" i="19"/>
  <c r="D97" i="19"/>
  <c r="C97" i="19"/>
  <c r="B97" i="19"/>
  <c r="D96" i="19"/>
  <c r="C96" i="19"/>
  <c r="B96" i="19"/>
  <c r="D95" i="19"/>
  <c r="C95" i="19"/>
  <c r="B95" i="19"/>
  <c r="D94" i="19"/>
  <c r="C94" i="19"/>
  <c r="B94" i="19"/>
  <c r="D93" i="19"/>
  <c r="C93" i="19"/>
  <c r="B93" i="19"/>
  <c r="D92" i="19"/>
  <c r="C92" i="19"/>
  <c r="B92" i="19"/>
  <c r="D91" i="19"/>
  <c r="C91" i="19"/>
  <c r="B91" i="19"/>
  <c r="D90" i="19"/>
  <c r="C90" i="19"/>
  <c r="B90" i="19"/>
  <c r="D89" i="19"/>
  <c r="C89" i="19"/>
  <c r="B89" i="19"/>
  <c r="D88" i="19"/>
  <c r="C88" i="19"/>
  <c r="B88" i="19"/>
  <c r="D87" i="19"/>
  <c r="C87" i="19"/>
  <c r="B87" i="19"/>
  <c r="D86" i="19"/>
  <c r="C86" i="19"/>
  <c r="B86" i="19"/>
  <c r="D85" i="19"/>
  <c r="C85" i="19"/>
  <c r="B85" i="19"/>
  <c r="D84" i="19"/>
  <c r="C84" i="19"/>
  <c r="B84" i="19"/>
  <c r="D83" i="19"/>
  <c r="C83" i="19"/>
  <c r="B83" i="19"/>
  <c r="D82" i="19"/>
  <c r="C82" i="19"/>
  <c r="B82" i="19"/>
  <c r="D81" i="19"/>
  <c r="C81" i="19"/>
  <c r="B81" i="19"/>
  <c r="D80" i="19"/>
  <c r="C80" i="19"/>
  <c r="B80" i="19"/>
  <c r="D79" i="19"/>
  <c r="C79" i="19"/>
  <c r="B79" i="19"/>
  <c r="D78" i="19"/>
  <c r="C78" i="19"/>
  <c r="B78" i="19"/>
  <c r="D77" i="19"/>
  <c r="C77" i="19"/>
  <c r="B77" i="19"/>
  <c r="D76" i="19"/>
  <c r="C76" i="19"/>
  <c r="B76" i="19"/>
  <c r="D75" i="19"/>
  <c r="C75" i="19"/>
  <c r="B75" i="19"/>
  <c r="D74" i="19"/>
  <c r="C74" i="19"/>
  <c r="B74" i="19"/>
  <c r="D73" i="19"/>
  <c r="C73" i="19"/>
  <c r="B73" i="19"/>
  <c r="D72" i="19"/>
  <c r="C72" i="19"/>
  <c r="B72" i="19"/>
  <c r="D71" i="19"/>
  <c r="C71" i="19"/>
  <c r="B71" i="19"/>
  <c r="D70" i="19"/>
  <c r="C70" i="19"/>
  <c r="B70" i="19"/>
  <c r="D69" i="19"/>
  <c r="C69" i="19"/>
  <c r="B69" i="19"/>
  <c r="D68" i="19"/>
  <c r="C68" i="19"/>
  <c r="B68" i="19"/>
  <c r="D67" i="19"/>
  <c r="C67" i="19"/>
  <c r="B67" i="19"/>
  <c r="D66" i="19"/>
  <c r="C66" i="19"/>
  <c r="B66" i="19"/>
  <c r="D65" i="19"/>
  <c r="C65" i="19"/>
  <c r="B65" i="19"/>
  <c r="D64" i="19"/>
  <c r="C64" i="19"/>
  <c r="B64" i="19"/>
  <c r="D63" i="19"/>
  <c r="C63" i="19"/>
  <c r="B63" i="19"/>
  <c r="D62" i="19"/>
  <c r="C62" i="19"/>
  <c r="B62" i="19"/>
  <c r="D61" i="19"/>
  <c r="C61" i="19"/>
  <c r="B61" i="19"/>
  <c r="D60" i="19"/>
  <c r="C60" i="19"/>
  <c r="B60" i="19"/>
  <c r="D59" i="19"/>
  <c r="C59" i="19"/>
  <c r="B59" i="19"/>
  <c r="D58" i="19"/>
  <c r="C58" i="19"/>
  <c r="B58" i="19"/>
  <c r="D57" i="19"/>
  <c r="C57" i="19"/>
  <c r="B57" i="19"/>
  <c r="D56" i="19"/>
  <c r="C56" i="19"/>
  <c r="B56" i="19"/>
  <c r="D55" i="19"/>
  <c r="C55" i="19"/>
  <c r="B55" i="19"/>
  <c r="D54" i="19"/>
  <c r="C54" i="19"/>
  <c r="B54" i="19"/>
  <c r="D53" i="19"/>
  <c r="C53" i="19"/>
  <c r="B53" i="19"/>
  <c r="D52" i="19"/>
  <c r="C52" i="19"/>
  <c r="B52" i="19"/>
  <c r="D51" i="19"/>
  <c r="C51" i="19"/>
  <c r="B51" i="19"/>
  <c r="D50" i="19"/>
  <c r="C50" i="19"/>
  <c r="B50" i="19"/>
  <c r="D49" i="19"/>
  <c r="C49" i="19"/>
  <c r="B49" i="19"/>
  <c r="D48" i="19"/>
  <c r="C48" i="19"/>
  <c r="B48" i="19"/>
  <c r="D47" i="19"/>
  <c r="C47" i="19"/>
  <c r="B47" i="19"/>
  <c r="D46" i="19"/>
  <c r="C46" i="19"/>
  <c r="B46" i="19"/>
  <c r="D45" i="19"/>
  <c r="C45" i="19"/>
  <c r="B45" i="19"/>
  <c r="D44" i="19"/>
  <c r="C44" i="19"/>
  <c r="B44" i="19"/>
  <c r="D43" i="19"/>
  <c r="C43" i="19"/>
  <c r="B43" i="19"/>
  <c r="D42" i="19"/>
  <c r="C42" i="19"/>
  <c r="B42" i="19"/>
  <c r="D41" i="19"/>
  <c r="C41" i="19"/>
  <c r="B41" i="19"/>
  <c r="D40" i="19"/>
  <c r="C40" i="19"/>
  <c r="B40" i="19"/>
  <c r="D39" i="19"/>
  <c r="C39" i="19"/>
  <c r="B39" i="19"/>
  <c r="D38" i="19"/>
  <c r="C38" i="19"/>
  <c r="B38" i="19"/>
  <c r="D37" i="19"/>
  <c r="C37" i="19"/>
  <c r="B37" i="19"/>
  <c r="D36" i="19"/>
  <c r="C36" i="19"/>
  <c r="B36" i="19"/>
  <c r="D35" i="19"/>
  <c r="C35" i="19"/>
  <c r="B35" i="19"/>
  <c r="D34" i="19"/>
  <c r="C34" i="19"/>
  <c r="B34" i="19"/>
  <c r="D33" i="19"/>
  <c r="C33" i="19"/>
  <c r="B33" i="19"/>
  <c r="D32" i="19"/>
  <c r="C32" i="19"/>
  <c r="B32" i="19"/>
  <c r="D31" i="19"/>
  <c r="C31" i="19"/>
  <c r="B31" i="19"/>
  <c r="D30" i="19"/>
  <c r="C30" i="19"/>
  <c r="B30" i="19"/>
  <c r="D29" i="19"/>
  <c r="C29" i="19"/>
  <c r="B29" i="19"/>
  <c r="D28" i="19"/>
  <c r="C28" i="19"/>
  <c r="B28" i="19"/>
  <c r="D27" i="19"/>
  <c r="C27" i="19"/>
  <c r="B27" i="19"/>
  <c r="D26" i="19"/>
  <c r="C26" i="19"/>
  <c r="B26" i="19"/>
  <c r="D25" i="19"/>
  <c r="C25" i="19"/>
  <c r="B25" i="19"/>
  <c r="D24" i="19"/>
  <c r="C24" i="19"/>
  <c r="B24" i="19"/>
  <c r="D23" i="19"/>
  <c r="C23" i="19"/>
  <c r="B23" i="19"/>
  <c r="D22" i="19"/>
  <c r="C22" i="19"/>
  <c r="B22" i="19"/>
  <c r="D21" i="19"/>
  <c r="C21" i="19"/>
  <c r="B21" i="19"/>
  <c r="D20" i="19"/>
  <c r="C20" i="19"/>
  <c r="B20" i="19"/>
  <c r="D19" i="19"/>
  <c r="C19" i="19"/>
  <c r="B19" i="19"/>
  <c r="D18" i="19"/>
  <c r="C18" i="19"/>
  <c r="B18" i="19"/>
  <c r="D17" i="19"/>
  <c r="C17" i="19"/>
  <c r="B17" i="19"/>
  <c r="D16" i="19"/>
  <c r="C16" i="19"/>
  <c r="B16" i="19"/>
  <c r="D15" i="19"/>
  <c r="C15" i="19"/>
  <c r="B15" i="19"/>
  <c r="D14" i="19"/>
  <c r="C14" i="19"/>
  <c r="B14" i="19"/>
  <c r="D13" i="19"/>
  <c r="C13" i="19"/>
  <c r="B13" i="19"/>
  <c r="D12" i="19"/>
  <c r="C12" i="19"/>
  <c r="B12" i="19"/>
  <c r="D11" i="19"/>
  <c r="C11" i="19"/>
  <c r="B11" i="19"/>
  <c r="D10" i="19"/>
  <c r="C10" i="19"/>
  <c r="B10" i="19"/>
  <c r="D9" i="19"/>
  <c r="C9" i="19"/>
  <c r="B9" i="19"/>
  <c r="D8" i="19"/>
  <c r="C8" i="19"/>
  <c r="B8" i="19"/>
  <c r="D7" i="19"/>
  <c r="C7" i="19"/>
  <c r="B7" i="19"/>
  <c r="D6" i="19"/>
  <c r="C6" i="19"/>
  <c r="B6" i="19"/>
  <c r="D5" i="19"/>
  <c r="C5" i="19"/>
  <c r="B5" i="19"/>
  <c r="D4" i="19"/>
  <c r="C4" i="19"/>
  <c r="B4" i="19"/>
  <c r="D3" i="19"/>
  <c r="C3" i="19"/>
  <c r="B3" i="19"/>
  <c r="A1" i="19"/>
  <c r="D127" i="20" l="1"/>
  <c r="E127" i="20" s="1"/>
  <c r="E132" i="20"/>
  <c r="D119" i="20"/>
  <c r="E119" i="20" s="1"/>
  <c r="B116" i="19"/>
  <c r="B118" i="19"/>
  <c r="B125" i="19"/>
  <c r="D110" i="19"/>
  <c r="C135" i="19"/>
  <c r="C118" i="19"/>
  <c r="B122" i="19"/>
  <c r="C125" i="19"/>
  <c r="D125" i="19" s="1"/>
  <c r="D109" i="19"/>
  <c r="C122" i="19"/>
  <c r="B123" i="19"/>
  <c r="B124" i="19"/>
  <c r="B126" i="19"/>
  <c r="C130" i="19"/>
  <c r="B131" i="19"/>
  <c r="D118" i="19"/>
  <c r="B117" i="19"/>
  <c r="D117" i="19" s="1"/>
  <c r="C117" i="19"/>
  <c r="C123" i="19"/>
  <c r="C124" i="19"/>
  <c r="C126" i="19"/>
  <c r="B130" i="19"/>
  <c r="C131" i="19"/>
  <c r="D108" i="19"/>
  <c r="B119" i="19"/>
  <c r="D122" i="19"/>
  <c r="D130" i="19"/>
  <c r="C116" i="19"/>
  <c r="C119" i="19" s="1"/>
  <c r="B135" i="19"/>
  <c r="D135" i="19" s="1"/>
  <c r="B127" i="19" l="1"/>
  <c r="B132" i="19"/>
  <c r="D131" i="19"/>
  <c r="D132" i="19" s="1"/>
  <c r="E132" i="19" s="1"/>
  <c r="D123" i="19"/>
  <c r="C132" i="19"/>
  <c r="C127" i="19"/>
  <c r="D126" i="19"/>
  <c r="D124" i="19"/>
  <c r="D116" i="19"/>
  <c r="D119" i="19" s="1"/>
  <c r="E119" i="19" s="1"/>
  <c r="D127" i="19" l="1"/>
  <c r="E127" i="19" s="1"/>
  <c r="C113" i="18"/>
  <c r="B113" i="18"/>
  <c r="D113" i="18" s="1"/>
  <c r="C112" i="18"/>
  <c r="B112" i="18"/>
  <c r="C111" i="18"/>
  <c r="B111" i="18"/>
  <c r="C110" i="18"/>
  <c r="B110" i="18"/>
  <c r="C109" i="18"/>
  <c r="B109" i="18"/>
  <c r="C108" i="18"/>
  <c r="B108" i="18"/>
  <c r="D107" i="18"/>
  <c r="C107" i="18"/>
  <c r="B107" i="18"/>
  <c r="D106" i="18"/>
  <c r="C106" i="18"/>
  <c r="B106" i="18"/>
  <c r="D105" i="18"/>
  <c r="C105" i="18"/>
  <c r="B105" i="18"/>
  <c r="D104" i="18"/>
  <c r="C104" i="18"/>
  <c r="B104" i="18"/>
  <c r="D103" i="18"/>
  <c r="C103" i="18"/>
  <c r="B103" i="18"/>
  <c r="D102" i="18"/>
  <c r="C102" i="18"/>
  <c r="B102" i="18"/>
  <c r="D101" i="18"/>
  <c r="C101" i="18"/>
  <c r="B101" i="18"/>
  <c r="D100" i="18"/>
  <c r="C100" i="18"/>
  <c r="B100" i="18"/>
  <c r="D99" i="18"/>
  <c r="C99" i="18"/>
  <c r="B99" i="18"/>
  <c r="D98" i="18"/>
  <c r="C98" i="18"/>
  <c r="B98" i="18"/>
  <c r="D97" i="18"/>
  <c r="C97" i="18"/>
  <c r="B97" i="18"/>
  <c r="D96" i="18"/>
  <c r="C96" i="18"/>
  <c r="B96" i="18"/>
  <c r="D95" i="18"/>
  <c r="C95" i="18"/>
  <c r="B95" i="18"/>
  <c r="D94" i="18"/>
  <c r="C94" i="18"/>
  <c r="B94" i="18"/>
  <c r="D93" i="18"/>
  <c r="C93" i="18"/>
  <c r="B93" i="18"/>
  <c r="D92" i="18"/>
  <c r="C92" i="18"/>
  <c r="B92" i="18"/>
  <c r="D91" i="18"/>
  <c r="C91" i="18"/>
  <c r="B91" i="18"/>
  <c r="D90" i="18"/>
  <c r="C90" i="18"/>
  <c r="B90" i="18"/>
  <c r="D89" i="18"/>
  <c r="C89" i="18"/>
  <c r="B89" i="18"/>
  <c r="D88" i="18"/>
  <c r="C88" i="18"/>
  <c r="B88" i="18"/>
  <c r="D87" i="18"/>
  <c r="C87" i="18"/>
  <c r="B87" i="18"/>
  <c r="D86" i="18"/>
  <c r="C86" i="18"/>
  <c r="B86" i="18"/>
  <c r="D85" i="18"/>
  <c r="C85" i="18"/>
  <c r="B85" i="18"/>
  <c r="D84" i="18"/>
  <c r="C84" i="18"/>
  <c r="B84" i="18"/>
  <c r="D83" i="18"/>
  <c r="C83" i="18"/>
  <c r="B83" i="18"/>
  <c r="D82" i="18"/>
  <c r="C82" i="18"/>
  <c r="B82" i="18"/>
  <c r="D81" i="18"/>
  <c r="C81" i="18"/>
  <c r="B81" i="18"/>
  <c r="D80" i="18"/>
  <c r="C80" i="18"/>
  <c r="B80" i="18"/>
  <c r="D79" i="18"/>
  <c r="C79" i="18"/>
  <c r="B79" i="18"/>
  <c r="D78" i="18"/>
  <c r="C78" i="18"/>
  <c r="B78" i="18"/>
  <c r="D77" i="18"/>
  <c r="C77" i="18"/>
  <c r="B77" i="18"/>
  <c r="D76" i="18"/>
  <c r="C76" i="18"/>
  <c r="B76" i="18"/>
  <c r="D75" i="18"/>
  <c r="C75" i="18"/>
  <c r="B75" i="18"/>
  <c r="D74" i="18"/>
  <c r="C74" i="18"/>
  <c r="B74" i="18"/>
  <c r="D73" i="18"/>
  <c r="C73" i="18"/>
  <c r="B73" i="18"/>
  <c r="D72" i="18"/>
  <c r="C72" i="18"/>
  <c r="B72" i="18"/>
  <c r="D71" i="18"/>
  <c r="C71" i="18"/>
  <c r="B71" i="18"/>
  <c r="D70" i="18"/>
  <c r="C70" i="18"/>
  <c r="B70" i="18"/>
  <c r="D69" i="18"/>
  <c r="C69" i="18"/>
  <c r="B69" i="18"/>
  <c r="D68" i="18"/>
  <c r="C68" i="18"/>
  <c r="B68" i="18"/>
  <c r="D67" i="18"/>
  <c r="C67" i="18"/>
  <c r="B67" i="18"/>
  <c r="D66" i="18"/>
  <c r="C66" i="18"/>
  <c r="B66" i="18"/>
  <c r="D65" i="18"/>
  <c r="C65" i="18"/>
  <c r="B65" i="18"/>
  <c r="D64" i="18"/>
  <c r="C64" i="18"/>
  <c r="B64" i="18"/>
  <c r="D63" i="18"/>
  <c r="C63" i="18"/>
  <c r="B63" i="18"/>
  <c r="D62" i="18"/>
  <c r="C62" i="18"/>
  <c r="B62" i="18"/>
  <c r="D61" i="18"/>
  <c r="C61" i="18"/>
  <c r="B61" i="18"/>
  <c r="D60" i="18"/>
  <c r="C60" i="18"/>
  <c r="B60" i="18"/>
  <c r="D59" i="18"/>
  <c r="C59" i="18"/>
  <c r="B59" i="18"/>
  <c r="D58" i="18"/>
  <c r="C58" i="18"/>
  <c r="B58" i="18"/>
  <c r="D57" i="18"/>
  <c r="C57" i="18"/>
  <c r="B57" i="18"/>
  <c r="D56" i="18"/>
  <c r="C56" i="18"/>
  <c r="B56" i="18"/>
  <c r="D55" i="18"/>
  <c r="C55" i="18"/>
  <c r="B55" i="18"/>
  <c r="D54" i="18"/>
  <c r="C54" i="18"/>
  <c r="B54" i="18"/>
  <c r="D53" i="18"/>
  <c r="C53" i="18"/>
  <c r="B53" i="18"/>
  <c r="D52" i="18"/>
  <c r="C52" i="18"/>
  <c r="B52" i="18"/>
  <c r="D51" i="18"/>
  <c r="C51" i="18"/>
  <c r="B51" i="18"/>
  <c r="D50" i="18"/>
  <c r="C50" i="18"/>
  <c r="B50" i="18"/>
  <c r="D49" i="18"/>
  <c r="C49" i="18"/>
  <c r="B49" i="18"/>
  <c r="D48" i="18"/>
  <c r="C48" i="18"/>
  <c r="B48" i="18"/>
  <c r="D47" i="18"/>
  <c r="C47" i="18"/>
  <c r="B47" i="18"/>
  <c r="D46" i="18"/>
  <c r="C46" i="18"/>
  <c r="B46" i="18"/>
  <c r="D45" i="18"/>
  <c r="C45" i="18"/>
  <c r="B45" i="18"/>
  <c r="D44" i="18"/>
  <c r="C44" i="18"/>
  <c r="B44" i="18"/>
  <c r="D43" i="18"/>
  <c r="C43" i="18"/>
  <c r="B43" i="18"/>
  <c r="D42" i="18"/>
  <c r="C42" i="18"/>
  <c r="B42" i="18"/>
  <c r="D41" i="18"/>
  <c r="C41" i="18"/>
  <c r="B41" i="18"/>
  <c r="D40" i="18"/>
  <c r="C40" i="18"/>
  <c r="B40" i="18"/>
  <c r="D39" i="18"/>
  <c r="C39" i="18"/>
  <c r="B39" i="18"/>
  <c r="D38" i="18"/>
  <c r="C38" i="18"/>
  <c r="B38" i="18"/>
  <c r="D37" i="18"/>
  <c r="C37" i="18"/>
  <c r="B37" i="18"/>
  <c r="D36" i="18"/>
  <c r="C36" i="18"/>
  <c r="B36" i="18"/>
  <c r="D35" i="18"/>
  <c r="C35" i="18"/>
  <c r="B35" i="18"/>
  <c r="D34" i="18"/>
  <c r="C34" i="18"/>
  <c r="B34" i="18"/>
  <c r="D33" i="18"/>
  <c r="C33" i="18"/>
  <c r="B33" i="18"/>
  <c r="D32" i="18"/>
  <c r="C32" i="18"/>
  <c r="B32" i="18"/>
  <c r="D31" i="18"/>
  <c r="C31" i="18"/>
  <c r="B31" i="18"/>
  <c r="D30" i="18"/>
  <c r="C30" i="18"/>
  <c r="B30" i="18"/>
  <c r="D29" i="18"/>
  <c r="C29" i="18"/>
  <c r="B29" i="18"/>
  <c r="D28" i="18"/>
  <c r="C28" i="18"/>
  <c r="B28" i="18"/>
  <c r="D27" i="18"/>
  <c r="C27" i="18"/>
  <c r="B27" i="18"/>
  <c r="D26" i="18"/>
  <c r="C26" i="18"/>
  <c r="B26" i="18"/>
  <c r="D25" i="18"/>
  <c r="C25" i="18"/>
  <c r="B25" i="18"/>
  <c r="D24" i="18"/>
  <c r="C24" i="18"/>
  <c r="B24" i="18"/>
  <c r="D23" i="18"/>
  <c r="C23" i="18"/>
  <c r="B23" i="18"/>
  <c r="D22" i="18"/>
  <c r="C22" i="18"/>
  <c r="B22" i="18"/>
  <c r="D21" i="18"/>
  <c r="C21" i="18"/>
  <c r="B21" i="18"/>
  <c r="D20" i="18"/>
  <c r="C20" i="18"/>
  <c r="B20" i="18"/>
  <c r="D19" i="18"/>
  <c r="C19" i="18"/>
  <c r="B19" i="18"/>
  <c r="D18" i="18"/>
  <c r="C18" i="18"/>
  <c r="B18" i="18"/>
  <c r="D17" i="18"/>
  <c r="C17" i="18"/>
  <c r="B17" i="18"/>
  <c r="D16" i="18"/>
  <c r="C16" i="18"/>
  <c r="B16" i="18"/>
  <c r="D15" i="18"/>
  <c r="C15" i="18"/>
  <c r="B15" i="18"/>
  <c r="D14" i="18"/>
  <c r="C14" i="18"/>
  <c r="B14" i="18"/>
  <c r="D13" i="18"/>
  <c r="C13" i="18"/>
  <c r="B13" i="18"/>
  <c r="D12" i="18"/>
  <c r="C12" i="18"/>
  <c r="B12" i="18"/>
  <c r="D11" i="18"/>
  <c r="C11" i="18"/>
  <c r="B11" i="18"/>
  <c r="D10" i="18"/>
  <c r="C10" i="18"/>
  <c r="B10" i="18"/>
  <c r="D9" i="18"/>
  <c r="C9" i="18"/>
  <c r="B9" i="18"/>
  <c r="D8" i="18"/>
  <c r="C8" i="18"/>
  <c r="B8" i="18"/>
  <c r="D7" i="18"/>
  <c r="C7" i="18"/>
  <c r="B7" i="18"/>
  <c r="D6" i="18"/>
  <c r="C6" i="18"/>
  <c r="B6" i="18"/>
  <c r="D5" i="18"/>
  <c r="C5" i="18"/>
  <c r="B5" i="18"/>
  <c r="D4" i="18"/>
  <c r="C4" i="18"/>
  <c r="B4" i="18"/>
  <c r="D3" i="18"/>
  <c r="C3" i="18"/>
  <c r="B3" i="18"/>
  <c r="A1" i="18"/>
  <c r="D111" i="18" l="1"/>
  <c r="D112" i="18"/>
  <c r="B116" i="18"/>
  <c r="B118" i="18"/>
  <c r="B125" i="18"/>
  <c r="D110" i="18"/>
  <c r="C135" i="18"/>
  <c r="C118" i="18"/>
  <c r="B122" i="18"/>
  <c r="C125" i="18"/>
  <c r="D109" i="18"/>
  <c r="C122" i="18"/>
  <c r="B123" i="18"/>
  <c r="B124" i="18"/>
  <c r="B126" i="18"/>
  <c r="C130" i="18"/>
  <c r="B131" i="18"/>
  <c r="B117" i="18"/>
  <c r="C117" i="18"/>
  <c r="C123" i="18"/>
  <c r="C124" i="18"/>
  <c r="C126" i="18"/>
  <c r="B130" i="18"/>
  <c r="D130" i="18" s="1"/>
  <c r="C131" i="18"/>
  <c r="D108" i="18"/>
  <c r="B119" i="18"/>
  <c r="C116" i="18"/>
  <c r="C119" i="18" s="1"/>
  <c r="B135" i="18"/>
  <c r="D135" i="18" s="1"/>
  <c r="B132" i="18" l="1"/>
  <c r="D122" i="18"/>
  <c r="D118" i="18"/>
  <c r="D117" i="18"/>
  <c r="B127" i="18"/>
  <c r="D125" i="18"/>
  <c r="D131" i="18"/>
  <c r="D123" i="18"/>
  <c r="C132" i="18"/>
  <c r="C127" i="18"/>
  <c r="D132" i="18"/>
  <c r="E132" i="18" s="1"/>
  <c r="D126" i="18"/>
  <c r="D124" i="18"/>
  <c r="D116" i="18"/>
  <c r="D119" i="18" l="1"/>
  <c r="E119" i="18" s="1"/>
  <c r="D127" i="18"/>
  <c r="E127" i="18" s="1"/>
  <c r="C113" i="16"/>
  <c r="B113" i="16"/>
  <c r="C112" i="16"/>
  <c r="B112" i="16"/>
  <c r="C111" i="16"/>
  <c r="B111" i="16"/>
  <c r="B110" i="16"/>
  <c r="B109" i="16"/>
  <c r="C108" i="16"/>
  <c r="B108" i="16"/>
  <c r="D107" i="16"/>
  <c r="C107" i="16"/>
  <c r="B107" i="16"/>
  <c r="D106" i="16"/>
  <c r="C106" i="16"/>
  <c r="B106" i="16"/>
  <c r="D105" i="16"/>
  <c r="C105" i="16"/>
  <c r="B105" i="16"/>
  <c r="D104" i="16"/>
  <c r="C104" i="16"/>
  <c r="B104" i="16"/>
  <c r="D103" i="16"/>
  <c r="C103" i="16"/>
  <c r="B103" i="16"/>
  <c r="D102" i="16"/>
  <c r="C102" i="16"/>
  <c r="B102" i="16"/>
  <c r="D101" i="16"/>
  <c r="C101" i="16"/>
  <c r="B101" i="16"/>
  <c r="D100" i="16"/>
  <c r="C100" i="16"/>
  <c r="B100" i="16"/>
  <c r="D99" i="16"/>
  <c r="C99" i="16"/>
  <c r="B99" i="16"/>
  <c r="D98" i="16"/>
  <c r="C98" i="16"/>
  <c r="B98" i="16"/>
  <c r="D97" i="16"/>
  <c r="C97" i="16"/>
  <c r="B97" i="16"/>
  <c r="D96" i="16"/>
  <c r="C96" i="16"/>
  <c r="B96" i="16"/>
  <c r="D95" i="16"/>
  <c r="C95" i="16"/>
  <c r="B95" i="16"/>
  <c r="D94" i="16"/>
  <c r="C94" i="16"/>
  <c r="B94" i="16"/>
  <c r="D93" i="16"/>
  <c r="C93" i="16"/>
  <c r="B93" i="16"/>
  <c r="D92" i="16"/>
  <c r="C92" i="16"/>
  <c r="B92" i="16"/>
  <c r="D91" i="16"/>
  <c r="C91" i="16"/>
  <c r="B91" i="16"/>
  <c r="D90" i="16"/>
  <c r="C90" i="16"/>
  <c r="B90" i="16"/>
  <c r="D89" i="16"/>
  <c r="C89" i="16"/>
  <c r="B89" i="16"/>
  <c r="D88" i="16"/>
  <c r="C88" i="16"/>
  <c r="B88" i="16"/>
  <c r="D87" i="16"/>
  <c r="C87" i="16"/>
  <c r="B87" i="16"/>
  <c r="D86" i="16"/>
  <c r="C86" i="16"/>
  <c r="B86" i="16"/>
  <c r="D85" i="16"/>
  <c r="C85" i="16"/>
  <c r="B85" i="16"/>
  <c r="D84" i="16"/>
  <c r="C84" i="16"/>
  <c r="B84" i="16"/>
  <c r="D83" i="16"/>
  <c r="C83" i="16"/>
  <c r="B83" i="16"/>
  <c r="D82" i="16"/>
  <c r="C82" i="16"/>
  <c r="B82" i="16"/>
  <c r="D81" i="16"/>
  <c r="C81" i="16"/>
  <c r="B81" i="16"/>
  <c r="D80" i="16"/>
  <c r="C80" i="16"/>
  <c r="B80" i="16"/>
  <c r="D79" i="16"/>
  <c r="C79" i="16"/>
  <c r="B79" i="16"/>
  <c r="D78" i="16"/>
  <c r="C78" i="16"/>
  <c r="B78" i="16"/>
  <c r="D77" i="16"/>
  <c r="C77" i="16"/>
  <c r="B77" i="16"/>
  <c r="D76" i="16"/>
  <c r="C76" i="16"/>
  <c r="B76" i="16"/>
  <c r="D75" i="16"/>
  <c r="C75" i="16"/>
  <c r="B75" i="16"/>
  <c r="D74" i="16"/>
  <c r="C74" i="16"/>
  <c r="B74" i="16"/>
  <c r="D73" i="16"/>
  <c r="C73" i="16"/>
  <c r="B73" i="16"/>
  <c r="D72" i="16"/>
  <c r="C72" i="16"/>
  <c r="B72" i="16"/>
  <c r="D71" i="16"/>
  <c r="C71" i="16"/>
  <c r="B71" i="16"/>
  <c r="D70" i="16"/>
  <c r="C70" i="16"/>
  <c r="B70" i="16"/>
  <c r="D69" i="16"/>
  <c r="C69" i="16"/>
  <c r="B69" i="16"/>
  <c r="D68" i="16"/>
  <c r="C68" i="16"/>
  <c r="B68" i="16"/>
  <c r="D67" i="16"/>
  <c r="C67" i="16"/>
  <c r="B67" i="16"/>
  <c r="D66" i="16"/>
  <c r="C66" i="16"/>
  <c r="B66" i="16"/>
  <c r="D65" i="16"/>
  <c r="C65" i="16"/>
  <c r="B65" i="16"/>
  <c r="D64" i="16"/>
  <c r="C64" i="16"/>
  <c r="B64" i="16"/>
  <c r="D63" i="16"/>
  <c r="C63" i="16"/>
  <c r="B63" i="16"/>
  <c r="D62" i="16"/>
  <c r="C62" i="16"/>
  <c r="B62" i="16"/>
  <c r="D61" i="16"/>
  <c r="C61" i="16"/>
  <c r="B61" i="16"/>
  <c r="D60" i="16"/>
  <c r="C60" i="16"/>
  <c r="B60" i="16"/>
  <c r="D59" i="16"/>
  <c r="C59" i="16"/>
  <c r="B59" i="16"/>
  <c r="D58" i="16"/>
  <c r="C58" i="16"/>
  <c r="B58" i="16"/>
  <c r="D57" i="16"/>
  <c r="C57" i="16"/>
  <c r="B57" i="16"/>
  <c r="D56" i="16"/>
  <c r="C56" i="16"/>
  <c r="B56" i="16"/>
  <c r="D55" i="16"/>
  <c r="C55" i="16"/>
  <c r="B55" i="16"/>
  <c r="D54" i="16"/>
  <c r="C54" i="16"/>
  <c r="B54" i="16"/>
  <c r="D53" i="16"/>
  <c r="C53" i="16"/>
  <c r="B53" i="16"/>
  <c r="D52" i="16"/>
  <c r="C52" i="16"/>
  <c r="B52" i="16"/>
  <c r="D51" i="16"/>
  <c r="C51" i="16"/>
  <c r="B51" i="16"/>
  <c r="D50" i="16"/>
  <c r="C50" i="16"/>
  <c r="B50" i="16"/>
  <c r="D49" i="16"/>
  <c r="C49" i="16"/>
  <c r="B49" i="16"/>
  <c r="D48" i="16"/>
  <c r="C48" i="16"/>
  <c r="B48" i="16"/>
  <c r="D47" i="16"/>
  <c r="C47" i="16"/>
  <c r="B47" i="16"/>
  <c r="D46" i="16"/>
  <c r="C46" i="16"/>
  <c r="B46" i="16"/>
  <c r="D45" i="16"/>
  <c r="C45" i="16"/>
  <c r="B45" i="16"/>
  <c r="D44" i="16"/>
  <c r="C44" i="16"/>
  <c r="B44" i="16"/>
  <c r="D43" i="16"/>
  <c r="C43" i="16"/>
  <c r="B43" i="16"/>
  <c r="D42" i="16"/>
  <c r="C42" i="16"/>
  <c r="B42" i="16"/>
  <c r="D41" i="16"/>
  <c r="C41" i="16"/>
  <c r="B41" i="16"/>
  <c r="D40" i="16"/>
  <c r="C40" i="16"/>
  <c r="B40" i="16"/>
  <c r="D39" i="16"/>
  <c r="C39" i="16"/>
  <c r="B39" i="16"/>
  <c r="D38" i="16"/>
  <c r="C38" i="16"/>
  <c r="B38" i="16"/>
  <c r="D37" i="16"/>
  <c r="C37" i="16"/>
  <c r="B37" i="16"/>
  <c r="D36" i="16"/>
  <c r="C36" i="16"/>
  <c r="B36" i="16"/>
  <c r="D35" i="16"/>
  <c r="C35" i="16"/>
  <c r="B35" i="16"/>
  <c r="D34" i="16"/>
  <c r="C34" i="16"/>
  <c r="B34" i="16"/>
  <c r="D33" i="16"/>
  <c r="C33" i="16"/>
  <c r="B33" i="16"/>
  <c r="D32" i="16"/>
  <c r="C32" i="16"/>
  <c r="B32" i="16"/>
  <c r="D31" i="16"/>
  <c r="C31" i="16"/>
  <c r="B31" i="16"/>
  <c r="D30" i="16"/>
  <c r="C30" i="16"/>
  <c r="B30" i="16"/>
  <c r="D29" i="16"/>
  <c r="C29" i="16"/>
  <c r="B29" i="16"/>
  <c r="D28" i="16"/>
  <c r="C28" i="16"/>
  <c r="B28" i="16"/>
  <c r="D27" i="16"/>
  <c r="C27" i="16"/>
  <c r="B27" i="16"/>
  <c r="D26" i="16"/>
  <c r="C26" i="16"/>
  <c r="B26" i="16"/>
  <c r="D25" i="16"/>
  <c r="C25" i="16"/>
  <c r="B25" i="16"/>
  <c r="D24" i="16"/>
  <c r="C24" i="16"/>
  <c r="B24" i="16"/>
  <c r="D23" i="16"/>
  <c r="C23" i="16"/>
  <c r="B23" i="16"/>
  <c r="D22" i="16"/>
  <c r="C22" i="16"/>
  <c r="B22" i="16"/>
  <c r="D21" i="16"/>
  <c r="C21" i="16"/>
  <c r="B21" i="16"/>
  <c r="D20" i="16"/>
  <c r="C20" i="16"/>
  <c r="B20" i="16"/>
  <c r="D19" i="16"/>
  <c r="C19" i="16"/>
  <c r="B19" i="16"/>
  <c r="D18" i="16"/>
  <c r="C18" i="16"/>
  <c r="B18" i="16"/>
  <c r="D17" i="16"/>
  <c r="C17" i="16"/>
  <c r="B17" i="16"/>
  <c r="D16" i="16"/>
  <c r="C16" i="16"/>
  <c r="B16" i="16"/>
  <c r="D15" i="16"/>
  <c r="C15" i="16"/>
  <c r="B15" i="16"/>
  <c r="D14" i="16"/>
  <c r="C14" i="16"/>
  <c r="B14" i="16"/>
  <c r="D13" i="16"/>
  <c r="C13" i="16"/>
  <c r="B13" i="16"/>
  <c r="D12" i="16"/>
  <c r="C12" i="16"/>
  <c r="B12" i="16"/>
  <c r="D11" i="16"/>
  <c r="C11" i="16"/>
  <c r="B11" i="16"/>
  <c r="D10" i="16"/>
  <c r="C10" i="16"/>
  <c r="B10" i="16"/>
  <c r="D9" i="16"/>
  <c r="C9" i="16"/>
  <c r="B9" i="16"/>
  <c r="D8" i="16"/>
  <c r="C8" i="16"/>
  <c r="B8" i="16"/>
  <c r="D7" i="16"/>
  <c r="C7" i="16"/>
  <c r="B7" i="16"/>
  <c r="D6" i="16"/>
  <c r="C6" i="16"/>
  <c r="B6" i="16"/>
  <c r="D5" i="16"/>
  <c r="C5" i="16"/>
  <c r="B5" i="16"/>
  <c r="D4" i="16"/>
  <c r="C4" i="16"/>
  <c r="B4" i="16"/>
  <c r="D3" i="16"/>
  <c r="C3" i="16"/>
  <c r="B3" i="16"/>
  <c r="A1" i="16"/>
  <c r="D112" i="16" l="1"/>
  <c r="D111" i="16"/>
  <c r="B116" i="16"/>
  <c r="B118" i="16"/>
  <c r="B125" i="16"/>
  <c r="C130" i="16"/>
  <c r="C135" i="16"/>
  <c r="C118" i="16"/>
  <c r="B122" i="16"/>
  <c r="C125" i="16"/>
  <c r="B117" i="16"/>
  <c r="C122" i="16"/>
  <c r="B123" i="16"/>
  <c r="B124" i="16"/>
  <c r="B126" i="16"/>
  <c r="B131" i="16"/>
  <c r="D113" i="16"/>
  <c r="C117" i="16"/>
  <c r="C123" i="16"/>
  <c r="C124" i="16"/>
  <c r="C126" i="16"/>
  <c r="B130" i="16"/>
  <c r="C131" i="16"/>
  <c r="C132" i="16" s="1"/>
  <c r="D108" i="16"/>
  <c r="C116" i="16"/>
  <c r="B135" i="16"/>
  <c r="C113" i="15"/>
  <c r="B113" i="15"/>
  <c r="C112" i="15"/>
  <c r="B112" i="15"/>
  <c r="C111" i="15"/>
  <c r="B111" i="15"/>
  <c r="B110" i="15"/>
  <c r="B109" i="15"/>
  <c r="D109" i="15" s="1"/>
  <c r="C108" i="15"/>
  <c r="B108" i="15"/>
  <c r="D107" i="15"/>
  <c r="C107" i="15"/>
  <c r="B107" i="15"/>
  <c r="D106" i="15"/>
  <c r="C106" i="15"/>
  <c r="B106" i="15"/>
  <c r="D105" i="15"/>
  <c r="C105" i="15"/>
  <c r="B105" i="15"/>
  <c r="D104" i="15"/>
  <c r="C104" i="15"/>
  <c r="B104" i="15"/>
  <c r="D103" i="15"/>
  <c r="C103" i="15"/>
  <c r="B103" i="15"/>
  <c r="D102" i="15"/>
  <c r="C102" i="15"/>
  <c r="B102" i="15"/>
  <c r="D101" i="15"/>
  <c r="C101" i="15"/>
  <c r="B101" i="15"/>
  <c r="D100" i="15"/>
  <c r="C100" i="15"/>
  <c r="B100" i="15"/>
  <c r="D99" i="15"/>
  <c r="C99" i="15"/>
  <c r="B99" i="15"/>
  <c r="D98" i="15"/>
  <c r="C98" i="15"/>
  <c r="B98" i="15"/>
  <c r="D97" i="15"/>
  <c r="C97" i="15"/>
  <c r="B97" i="15"/>
  <c r="D96" i="15"/>
  <c r="C96" i="15"/>
  <c r="B96" i="15"/>
  <c r="D95" i="15"/>
  <c r="C95" i="15"/>
  <c r="B95" i="15"/>
  <c r="D94" i="15"/>
  <c r="C94" i="15"/>
  <c r="B94" i="15"/>
  <c r="D93" i="15"/>
  <c r="C93" i="15"/>
  <c r="B93" i="15"/>
  <c r="D92" i="15"/>
  <c r="C92" i="15"/>
  <c r="B92" i="15"/>
  <c r="D91" i="15"/>
  <c r="C91" i="15"/>
  <c r="B91" i="15"/>
  <c r="D90" i="15"/>
  <c r="C90" i="15"/>
  <c r="B90" i="15"/>
  <c r="D89" i="15"/>
  <c r="C89" i="15"/>
  <c r="B89" i="15"/>
  <c r="D88" i="15"/>
  <c r="C88" i="15"/>
  <c r="B88" i="15"/>
  <c r="D87" i="15"/>
  <c r="C87" i="15"/>
  <c r="B87" i="15"/>
  <c r="D86" i="15"/>
  <c r="C86" i="15"/>
  <c r="B86" i="15"/>
  <c r="D85" i="15"/>
  <c r="C85" i="15"/>
  <c r="B85" i="15"/>
  <c r="D84" i="15"/>
  <c r="C84" i="15"/>
  <c r="B84" i="15"/>
  <c r="D83" i="15"/>
  <c r="C83" i="15"/>
  <c r="B83" i="15"/>
  <c r="D82" i="15"/>
  <c r="C82" i="15"/>
  <c r="B82" i="15"/>
  <c r="D81" i="15"/>
  <c r="C81" i="15"/>
  <c r="B81" i="15"/>
  <c r="D80" i="15"/>
  <c r="C80" i="15"/>
  <c r="B80" i="15"/>
  <c r="D79" i="15"/>
  <c r="C79" i="15"/>
  <c r="B79" i="15"/>
  <c r="D78" i="15"/>
  <c r="C78" i="15"/>
  <c r="B78" i="15"/>
  <c r="D77" i="15"/>
  <c r="C77" i="15"/>
  <c r="B77" i="15"/>
  <c r="D76" i="15"/>
  <c r="C76" i="15"/>
  <c r="B76" i="15"/>
  <c r="D75" i="15"/>
  <c r="C75" i="15"/>
  <c r="B75" i="15"/>
  <c r="D74" i="15"/>
  <c r="C74" i="15"/>
  <c r="B74" i="15"/>
  <c r="D73" i="15"/>
  <c r="C73" i="15"/>
  <c r="B73" i="15"/>
  <c r="D72" i="15"/>
  <c r="C72" i="15"/>
  <c r="B72" i="15"/>
  <c r="D71" i="15"/>
  <c r="C71" i="15"/>
  <c r="B71" i="15"/>
  <c r="D70" i="15"/>
  <c r="C70" i="15"/>
  <c r="B70" i="15"/>
  <c r="D69" i="15"/>
  <c r="C69" i="15"/>
  <c r="B69" i="15"/>
  <c r="D68" i="15"/>
  <c r="C68" i="15"/>
  <c r="B68" i="15"/>
  <c r="D67" i="15"/>
  <c r="C67" i="15"/>
  <c r="B67" i="15"/>
  <c r="D66" i="15"/>
  <c r="C66" i="15"/>
  <c r="B66" i="15"/>
  <c r="D65" i="15"/>
  <c r="C65" i="15"/>
  <c r="B65" i="15"/>
  <c r="D64" i="15"/>
  <c r="C64" i="15"/>
  <c r="B64" i="15"/>
  <c r="D63" i="15"/>
  <c r="C63" i="15"/>
  <c r="B63" i="15"/>
  <c r="D62" i="15"/>
  <c r="C62" i="15"/>
  <c r="B62" i="15"/>
  <c r="D61" i="15"/>
  <c r="C61" i="15"/>
  <c r="B61" i="15"/>
  <c r="D60" i="15"/>
  <c r="C60" i="15"/>
  <c r="B60" i="15"/>
  <c r="D59" i="15"/>
  <c r="C59" i="15"/>
  <c r="B59" i="15"/>
  <c r="D58" i="15"/>
  <c r="C58" i="15"/>
  <c r="B58" i="15"/>
  <c r="D57" i="15"/>
  <c r="C57" i="15"/>
  <c r="B57" i="15"/>
  <c r="D56" i="15"/>
  <c r="C56" i="15"/>
  <c r="B56" i="15"/>
  <c r="D55" i="15"/>
  <c r="C55" i="15"/>
  <c r="B55" i="15"/>
  <c r="D54" i="15"/>
  <c r="C54" i="15"/>
  <c r="B54" i="15"/>
  <c r="D53" i="15"/>
  <c r="C53" i="15"/>
  <c r="B53" i="15"/>
  <c r="D52" i="15"/>
  <c r="C52" i="15"/>
  <c r="B52" i="15"/>
  <c r="D51" i="15"/>
  <c r="C51" i="15"/>
  <c r="B51" i="15"/>
  <c r="D50" i="15"/>
  <c r="C50" i="15"/>
  <c r="B50" i="15"/>
  <c r="D49" i="15"/>
  <c r="C49" i="15"/>
  <c r="B49" i="15"/>
  <c r="D48" i="15"/>
  <c r="C48" i="15"/>
  <c r="B48" i="15"/>
  <c r="D47" i="15"/>
  <c r="C47" i="15"/>
  <c r="B47" i="15"/>
  <c r="D46" i="15"/>
  <c r="C46" i="15"/>
  <c r="B46" i="15"/>
  <c r="D45" i="15"/>
  <c r="C45" i="15"/>
  <c r="B45" i="15"/>
  <c r="D44" i="15"/>
  <c r="C44" i="15"/>
  <c r="B44" i="15"/>
  <c r="D43" i="15"/>
  <c r="C43" i="15"/>
  <c r="B43" i="15"/>
  <c r="D42" i="15"/>
  <c r="C42" i="15"/>
  <c r="B42" i="15"/>
  <c r="D41" i="15"/>
  <c r="C41" i="15"/>
  <c r="B41" i="15"/>
  <c r="D40" i="15"/>
  <c r="C40" i="15"/>
  <c r="B40" i="15"/>
  <c r="D39" i="15"/>
  <c r="C39" i="15"/>
  <c r="B39" i="15"/>
  <c r="D38" i="15"/>
  <c r="C38" i="15"/>
  <c r="B38" i="15"/>
  <c r="D37" i="15"/>
  <c r="C37" i="15"/>
  <c r="B37" i="15"/>
  <c r="D36" i="15"/>
  <c r="C36" i="15"/>
  <c r="B36" i="15"/>
  <c r="D35" i="15"/>
  <c r="C35" i="15"/>
  <c r="B35" i="15"/>
  <c r="D34" i="15"/>
  <c r="C34" i="15"/>
  <c r="B34" i="15"/>
  <c r="D33" i="15"/>
  <c r="C33" i="15"/>
  <c r="B33" i="15"/>
  <c r="D32" i="15"/>
  <c r="C32" i="15"/>
  <c r="B32" i="15"/>
  <c r="D31" i="15"/>
  <c r="C31" i="15"/>
  <c r="B31" i="15"/>
  <c r="D30" i="15"/>
  <c r="C30" i="15"/>
  <c r="B30" i="15"/>
  <c r="D29" i="15"/>
  <c r="C29" i="15"/>
  <c r="B29" i="15"/>
  <c r="D28" i="15"/>
  <c r="C28" i="15"/>
  <c r="B28" i="15"/>
  <c r="D27" i="15"/>
  <c r="C27" i="15"/>
  <c r="B27" i="15"/>
  <c r="D26" i="15"/>
  <c r="C26" i="15"/>
  <c r="B26" i="15"/>
  <c r="D25" i="15"/>
  <c r="C25" i="15"/>
  <c r="B25" i="15"/>
  <c r="D24" i="15"/>
  <c r="C24" i="15"/>
  <c r="B24" i="15"/>
  <c r="D23" i="15"/>
  <c r="C23" i="15"/>
  <c r="B23" i="15"/>
  <c r="D22" i="15"/>
  <c r="C22" i="15"/>
  <c r="B22" i="15"/>
  <c r="D21" i="15"/>
  <c r="C21" i="15"/>
  <c r="B21" i="15"/>
  <c r="D20" i="15"/>
  <c r="C20" i="15"/>
  <c r="B20" i="15"/>
  <c r="D19" i="15"/>
  <c r="C19" i="15"/>
  <c r="B19" i="15"/>
  <c r="D18" i="15"/>
  <c r="C18" i="15"/>
  <c r="B18" i="15"/>
  <c r="D17" i="15"/>
  <c r="C17" i="15"/>
  <c r="B17" i="15"/>
  <c r="D16" i="15"/>
  <c r="C16" i="15"/>
  <c r="B16" i="15"/>
  <c r="D15" i="15"/>
  <c r="C15" i="15"/>
  <c r="B15" i="15"/>
  <c r="D14" i="15"/>
  <c r="C14" i="15"/>
  <c r="B14" i="15"/>
  <c r="D13" i="15"/>
  <c r="C13" i="15"/>
  <c r="B13" i="15"/>
  <c r="D12" i="15"/>
  <c r="C12" i="15"/>
  <c r="B12" i="15"/>
  <c r="D11" i="15"/>
  <c r="C11" i="15"/>
  <c r="B11" i="15"/>
  <c r="D10" i="15"/>
  <c r="C10" i="15"/>
  <c r="B10" i="15"/>
  <c r="D9" i="15"/>
  <c r="C9" i="15"/>
  <c r="B9" i="15"/>
  <c r="D8" i="15"/>
  <c r="C8" i="15"/>
  <c r="B8" i="15"/>
  <c r="D7" i="15"/>
  <c r="C7" i="15"/>
  <c r="B7" i="15"/>
  <c r="D6" i="15"/>
  <c r="C6" i="15"/>
  <c r="B6" i="15"/>
  <c r="D5" i="15"/>
  <c r="C5" i="15"/>
  <c r="B5" i="15"/>
  <c r="D4" i="15"/>
  <c r="C4" i="15"/>
  <c r="B4" i="15"/>
  <c r="D3" i="15"/>
  <c r="C3" i="15"/>
  <c r="B3" i="15"/>
  <c r="A1" i="15"/>
  <c r="D135" i="16" l="1"/>
  <c r="D122" i="16"/>
  <c r="D118" i="16"/>
  <c r="D124" i="16"/>
  <c r="D123" i="16"/>
  <c r="D125" i="16"/>
  <c r="C119" i="16"/>
  <c r="D126" i="16"/>
  <c r="D117" i="16"/>
  <c r="B132" i="16"/>
  <c r="B127" i="16"/>
  <c r="D131" i="16"/>
  <c r="C127" i="16"/>
  <c r="D130" i="16"/>
  <c r="B119" i="16"/>
  <c r="D112" i="15"/>
  <c r="D116" i="16"/>
  <c r="D111" i="15"/>
  <c r="B116" i="15"/>
  <c r="B118" i="15"/>
  <c r="C125" i="15"/>
  <c r="C118" i="15"/>
  <c r="B117" i="15"/>
  <c r="C122" i="15"/>
  <c r="B123" i="15"/>
  <c r="B124" i="15"/>
  <c r="B126" i="15"/>
  <c r="B131" i="15"/>
  <c r="D113" i="15"/>
  <c r="C135" i="15"/>
  <c r="C117" i="15"/>
  <c r="B122" i="15"/>
  <c r="C123" i="15"/>
  <c r="C124" i="15"/>
  <c r="B125" i="15"/>
  <c r="D125" i="15" s="1"/>
  <c r="C126" i="15"/>
  <c r="B130" i="15"/>
  <c r="C130" i="15"/>
  <c r="C131" i="15"/>
  <c r="D108" i="15"/>
  <c r="D123" i="15"/>
  <c r="D124" i="15"/>
  <c r="C116" i="15"/>
  <c r="B135" i="15"/>
  <c r="C113" i="14"/>
  <c r="B113" i="14"/>
  <c r="C112" i="14"/>
  <c r="B112" i="14"/>
  <c r="C111" i="14"/>
  <c r="B111" i="14"/>
  <c r="B110" i="14"/>
  <c r="B109" i="14"/>
  <c r="C108" i="14"/>
  <c r="B108" i="14"/>
  <c r="D107" i="14"/>
  <c r="C107" i="14"/>
  <c r="B107" i="14"/>
  <c r="D106" i="14"/>
  <c r="C106" i="14"/>
  <c r="B106" i="14"/>
  <c r="D105" i="14"/>
  <c r="C105" i="14"/>
  <c r="B105" i="14"/>
  <c r="D104" i="14"/>
  <c r="C104" i="14"/>
  <c r="B104" i="14"/>
  <c r="D103" i="14"/>
  <c r="C103" i="14"/>
  <c r="B103" i="14"/>
  <c r="D102" i="14"/>
  <c r="C102" i="14"/>
  <c r="B102" i="14"/>
  <c r="D101" i="14"/>
  <c r="C101" i="14"/>
  <c r="B101" i="14"/>
  <c r="D100" i="14"/>
  <c r="C100" i="14"/>
  <c r="B100" i="14"/>
  <c r="D99" i="14"/>
  <c r="C99" i="14"/>
  <c r="B99" i="14"/>
  <c r="D98" i="14"/>
  <c r="C98" i="14"/>
  <c r="B98" i="14"/>
  <c r="D97" i="14"/>
  <c r="C97" i="14"/>
  <c r="B97" i="14"/>
  <c r="D96" i="14"/>
  <c r="C96" i="14"/>
  <c r="B96" i="14"/>
  <c r="D95" i="14"/>
  <c r="C95" i="14"/>
  <c r="B95" i="14"/>
  <c r="D94" i="14"/>
  <c r="C94" i="14"/>
  <c r="B94" i="14"/>
  <c r="D93" i="14"/>
  <c r="C93" i="14"/>
  <c r="B93" i="14"/>
  <c r="D92" i="14"/>
  <c r="C92" i="14"/>
  <c r="B92" i="14"/>
  <c r="D91" i="14"/>
  <c r="C91" i="14"/>
  <c r="B91" i="14"/>
  <c r="D90" i="14"/>
  <c r="C90" i="14"/>
  <c r="B90" i="14"/>
  <c r="D89" i="14"/>
  <c r="C89" i="14"/>
  <c r="B89" i="14"/>
  <c r="D88" i="14"/>
  <c r="C88" i="14"/>
  <c r="B88" i="14"/>
  <c r="D87" i="14"/>
  <c r="C87" i="14"/>
  <c r="B87" i="14"/>
  <c r="D86" i="14"/>
  <c r="C86" i="14"/>
  <c r="B86" i="14"/>
  <c r="D85" i="14"/>
  <c r="C85" i="14"/>
  <c r="B85" i="14"/>
  <c r="D84" i="14"/>
  <c r="C84" i="14"/>
  <c r="B84" i="14"/>
  <c r="D83" i="14"/>
  <c r="C83" i="14"/>
  <c r="B83" i="14"/>
  <c r="D82" i="14"/>
  <c r="C82" i="14"/>
  <c r="B82" i="14"/>
  <c r="D81" i="14"/>
  <c r="C81" i="14"/>
  <c r="B81" i="14"/>
  <c r="D80" i="14"/>
  <c r="C80" i="14"/>
  <c r="B80" i="14"/>
  <c r="D79" i="14"/>
  <c r="C79" i="14"/>
  <c r="B79" i="14"/>
  <c r="D78" i="14"/>
  <c r="C78" i="14"/>
  <c r="B78" i="14"/>
  <c r="D77" i="14"/>
  <c r="C77" i="14"/>
  <c r="B77" i="14"/>
  <c r="D76" i="14"/>
  <c r="C76" i="14"/>
  <c r="B76" i="14"/>
  <c r="D75" i="14"/>
  <c r="C75" i="14"/>
  <c r="B75" i="14"/>
  <c r="D74" i="14"/>
  <c r="C74" i="14"/>
  <c r="B74" i="14"/>
  <c r="D73" i="14"/>
  <c r="C73" i="14"/>
  <c r="B73" i="14"/>
  <c r="D72" i="14"/>
  <c r="C72" i="14"/>
  <c r="B72" i="14"/>
  <c r="D71" i="14"/>
  <c r="C71" i="14"/>
  <c r="B71" i="14"/>
  <c r="D70" i="14"/>
  <c r="C70" i="14"/>
  <c r="B70" i="14"/>
  <c r="D69" i="14"/>
  <c r="C69" i="14"/>
  <c r="B69" i="14"/>
  <c r="D68" i="14"/>
  <c r="C68" i="14"/>
  <c r="B68" i="14"/>
  <c r="D67" i="14"/>
  <c r="C67" i="14"/>
  <c r="B67" i="14"/>
  <c r="D66" i="14"/>
  <c r="C66" i="14"/>
  <c r="B66" i="14"/>
  <c r="D65" i="14"/>
  <c r="C65" i="14"/>
  <c r="B65" i="14"/>
  <c r="D64" i="14"/>
  <c r="C64" i="14"/>
  <c r="B64" i="14"/>
  <c r="D63" i="14"/>
  <c r="C63" i="14"/>
  <c r="B63" i="14"/>
  <c r="D62" i="14"/>
  <c r="C62" i="14"/>
  <c r="B62" i="14"/>
  <c r="D61" i="14"/>
  <c r="C61" i="14"/>
  <c r="B61" i="14"/>
  <c r="D60" i="14"/>
  <c r="C60" i="14"/>
  <c r="B60" i="14"/>
  <c r="D59" i="14"/>
  <c r="C59" i="14"/>
  <c r="B59" i="14"/>
  <c r="D58" i="14"/>
  <c r="C58" i="14"/>
  <c r="B58" i="14"/>
  <c r="D57" i="14"/>
  <c r="C57" i="14"/>
  <c r="B57" i="14"/>
  <c r="D56" i="14"/>
  <c r="C56" i="14"/>
  <c r="B56" i="14"/>
  <c r="D55" i="14"/>
  <c r="C55" i="14"/>
  <c r="B55" i="14"/>
  <c r="D54" i="14"/>
  <c r="C54" i="14"/>
  <c r="B54" i="14"/>
  <c r="D53" i="14"/>
  <c r="C53" i="14"/>
  <c r="B53" i="14"/>
  <c r="D52" i="14"/>
  <c r="C52" i="14"/>
  <c r="B52" i="14"/>
  <c r="D51" i="14"/>
  <c r="C51" i="14"/>
  <c r="B51" i="14"/>
  <c r="D50" i="14"/>
  <c r="C50" i="14"/>
  <c r="B50" i="14"/>
  <c r="D49" i="14"/>
  <c r="C49" i="14"/>
  <c r="B49" i="14"/>
  <c r="D48" i="14"/>
  <c r="C48" i="14"/>
  <c r="B48" i="14"/>
  <c r="D47" i="14"/>
  <c r="C47" i="14"/>
  <c r="B47" i="14"/>
  <c r="D46" i="14"/>
  <c r="C46" i="14"/>
  <c r="B46" i="14"/>
  <c r="D45" i="14"/>
  <c r="C45" i="14"/>
  <c r="B45" i="14"/>
  <c r="D44" i="14"/>
  <c r="C44" i="14"/>
  <c r="B44" i="14"/>
  <c r="D43" i="14"/>
  <c r="C43" i="14"/>
  <c r="B43" i="14"/>
  <c r="D42" i="14"/>
  <c r="C42" i="14"/>
  <c r="B42" i="14"/>
  <c r="D41" i="14"/>
  <c r="C41" i="14"/>
  <c r="B41" i="14"/>
  <c r="D40" i="14"/>
  <c r="C40" i="14"/>
  <c r="B40" i="14"/>
  <c r="D39" i="14"/>
  <c r="C39" i="14"/>
  <c r="B39" i="14"/>
  <c r="D38" i="14"/>
  <c r="C38" i="14"/>
  <c r="B38" i="14"/>
  <c r="D37" i="14"/>
  <c r="C37" i="14"/>
  <c r="B37" i="14"/>
  <c r="D36" i="14"/>
  <c r="C36" i="14"/>
  <c r="B36" i="14"/>
  <c r="D35" i="14"/>
  <c r="C35" i="14"/>
  <c r="B35" i="14"/>
  <c r="D34" i="14"/>
  <c r="C34" i="14"/>
  <c r="B34" i="14"/>
  <c r="D33" i="14"/>
  <c r="C33" i="14"/>
  <c r="B33" i="14"/>
  <c r="D32" i="14"/>
  <c r="C32" i="14"/>
  <c r="B32" i="14"/>
  <c r="D31" i="14"/>
  <c r="C31" i="14"/>
  <c r="B31" i="14"/>
  <c r="D30" i="14"/>
  <c r="C30" i="14"/>
  <c r="B30" i="14"/>
  <c r="D29" i="14"/>
  <c r="C29" i="14"/>
  <c r="B29" i="14"/>
  <c r="D28" i="14"/>
  <c r="C28" i="14"/>
  <c r="B28" i="14"/>
  <c r="D27" i="14"/>
  <c r="C27" i="14"/>
  <c r="B27" i="14"/>
  <c r="D26" i="14"/>
  <c r="C26" i="14"/>
  <c r="B26" i="14"/>
  <c r="D25" i="14"/>
  <c r="C25" i="14"/>
  <c r="B25" i="14"/>
  <c r="D24" i="14"/>
  <c r="C24" i="14"/>
  <c r="B24" i="14"/>
  <c r="D23" i="14"/>
  <c r="C23" i="14"/>
  <c r="B23" i="14"/>
  <c r="D22" i="14"/>
  <c r="C22" i="14"/>
  <c r="B22" i="14"/>
  <c r="D21" i="14"/>
  <c r="C21" i="14"/>
  <c r="B21" i="14"/>
  <c r="D20" i="14"/>
  <c r="C20" i="14"/>
  <c r="B20" i="14"/>
  <c r="D19" i="14"/>
  <c r="C19" i="14"/>
  <c r="B19" i="14"/>
  <c r="D18" i="14"/>
  <c r="C18" i="14"/>
  <c r="B18" i="14"/>
  <c r="D17" i="14"/>
  <c r="C17" i="14"/>
  <c r="B17" i="14"/>
  <c r="D16" i="14"/>
  <c r="C16" i="14"/>
  <c r="B16" i="14"/>
  <c r="D15" i="14"/>
  <c r="C15" i="14"/>
  <c r="B15" i="14"/>
  <c r="D14" i="14"/>
  <c r="C14" i="14"/>
  <c r="B14" i="14"/>
  <c r="D13" i="14"/>
  <c r="C13" i="14"/>
  <c r="B13" i="14"/>
  <c r="D12" i="14"/>
  <c r="C12" i="14"/>
  <c r="B12" i="14"/>
  <c r="D11" i="14"/>
  <c r="C11" i="14"/>
  <c r="B11" i="14"/>
  <c r="D10" i="14"/>
  <c r="C10" i="14"/>
  <c r="B10" i="14"/>
  <c r="D9" i="14"/>
  <c r="C9" i="14"/>
  <c r="B9" i="14"/>
  <c r="D8" i="14"/>
  <c r="C8" i="14"/>
  <c r="B8" i="14"/>
  <c r="D7" i="14"/>
  <c r="C7" i="14"/>
  <c r="B7" i="14"/>
  <c r="D6" i="14"/>
  <c r="C6" i="14"/>
  <c r="B6" i="14"/>
  <c r="D5" i="14"/>
  <c r="C5" i="14"/>
  <c r="B5" i="14"/>
  <c r="D4" i="14"/>
  <c r="C4" i="14"/>
  <c r="B4" i="14"/>
  <c r="D3" i="14"/>
  <c r="C3" i="14"/>
  <c r="B3" i="14"/>
  <c r="A1" i="14"/>
  <c r="D119" i="16" l="1"/>
  <c r="E119" i="16" s="1"/>
  <c r="D127" i="16"/>
  <c r="E127" i="16" s="1"/>
  <c r="D130" i="15"/>
  <c r="D135" i="15"/>
  <c r="D126" i="15"/>
  <c r="B119" i="15"/>
  <c r="D118" i="15"/>
  <c r="D132" i="16"/>
  <c r="E132" i="16" s="1"/>
  <c r="B132" i="15"/>
  <c r="C119" i="15"/>
  <c r="D117" i="15"/>
  <c r="B127" i="15"/>
  <c r="D111" i="14"/>
  <c r="D113" i="14"/>
  <c r="D112" i="14"/>
  <c r="D131" i="15"/>
  <c r="D132" i="15" s="1"/>
  <c r="E132" i="15" s="1"/>
  <c r="C127" i="15"/>
  <c r="B116" i="14"/>
  <c r="B118" i="14"/>
  <c r="B125" i="14"/>
  <c r="D122" i="15"/>
  <c r="C132" i="15"/>
  <c r="D116" i="15"/>
  <c r="B122" i="14"/>
  <c r="C125" i="14"/>
  <c r="C118" i="14"/>
  <c r="C122" i="14"/>
  <c r="B123" i="14"/>
  <c r="B124" i="14"/>
  <c r="B126" i="14"/>
  <c r="B131" i="14"/>
  <c r="C135" i="14"/>
  <c r="B117" i="14"/>
  <c r="C117" i="14"/>
  <c r="C123" i="14"/>
  <c r="C124" i="14"/>
  <c r="C126" i="14"/>
  <c r="B130" i="14"/>
  <c r="C130" i="14"/>
  <c r="C131" i="14"/>
  <c r="D108" i="14"/>
  <c r="C116" i="14"/>
  <c r="B135" i="14"/>
  <c r="C113" i="12"/>
  <c r="B113" i="12"/>
  <c r="C112" i="12"/>
  <c r="B112" i="12"/>
  <c r="C111" i="12"/>
  <c r="B111" i="12"/>
  <c r="C110" i="12"/>
  <c r="B110" i="12"/>
  <c r="C109" i="12"/>
  <c r="B109" i="12"/>
  <c r="C108" i="12"/>
  <c r="B108" i="12"/>
  <c r="D107" i="12"/>
  <c r="C107" i="12"/>
  <c r="B107" i="12"/>
  <c r="D106" i="12"/>
  <c r="C106" i="12"/>
  <c r="B106" i="12"/>
  <c r="D105" i="12"/>
  <c r="C105" i="12"/>
  <c r="B105" i="12"/>
  <c r="D104" i="12"/>
  <c r="C104" i="12"/>
  <c r="B104" i="12"/>
  <c r="D103" i="12"/>
  <c r="C103" i="12"/>
  <c r="B103" i="12"/>
  <c r="D102" i="12"/>
  <c r="C102" i="12"/>
  <c r="B102" i="12"/>
  <c r="D101" i="12"/>
  <c r="C101" i="12"/>
  <c r="B101" i="12"/>
  <c r="D100" i="12"/>
  <c r="C100" i="12"/>
  <c r="B100" i="12"/>
  <c r="D99" i="12"/>
  <c r="C99" i="12"/>
  <c r="B99" i="12"/>
  <c r="D98" i="12"/>
  <c r="C98" i="12"/>
  <c r="B98" i="12"/>
  <c r="D97" i="12"/>
  <c r="C97" i="12"/>
  <c r="B97" i="12"/>
  <c r="D96" i="12"/>
  <c r="C96" i="12"/>
  <c r="B96" i="12"/>
  <c r="D95" i="12"/>
  <c r="C95" i="12"/>
  <c r="B95" i="12"/>
  <c r="D94" i="12"/>
  <c r="C94" i="12"/>
  <c r="B94" i="12"/>
  <c r="D93" i="12"/>
  <c r="C93" i="12"/>
  <c r="B93" i="12"/>
  <c r="D92" i="12"/>
  <c r="C92" i="12"/>
  <c r="B92" i="12"/>
  <c r="D91" i="12"/>
  <c r="C91" i="12"/>
  <c r="B91" i="12"/>
  <c r="D90" i="12"/>
  <c r="C90" i="12"/>
  <c r="B90" i="12"/>
  <c r="D89" i="12"/>
  <c r="C89" i="12"/>
  <c r="B89" i="12"/>
  <c r="D88" i="12"/>
  <c r="C88" i="12"/>
  <c r="B88" i="12"/>
  <c r="D87" i="12"/>
  <c r="C87" i="12"/>
  <c r="B87" i="12"/>
  <c r="D86" i="12"/>
  <c r="C86" i="12"/>
  <c r="B86" i="12"/>
  <c r="D85" i="12"/>
  <c r="C85" i="12"/>
  <c r="B85" i="12"/>
  <c r="D84" i="12"/>
  <c r="C84" i="12"/>
  <c r="B84" i="12"/>
  <c r="D83" i="12"/>
  <c r="C83" i="12"/>
  <c r="B83" i="12"/>
  <c r="D82" i="12"/>
  <c r="C82" i="12"/>
  <c r="B82" i="12"/>
  <c r="D81" i="12"/>
  <c r="C81" i="12"/>
  <c r="B81" i="12"/>
  <c r="D80" i="12"/>
  <c r="C80" i="12"/>
  <c r="B80" i="12"/>
  <c r="D79" i="12"/>
  <c r="C79" i="12"/>
  <c r="B79" i="12"/>
  <c r="D78" i="12"/>
  <c r="C78" i="12"/>
  <c r="B78" i="12"/>
  <c r="D77" i="12"/>
  <c r="C77" i="12"/>
  <c r="B77" i="12"/>
  <c r="D76" i="12"/>
  <c r="C76" i="12"/>
  <c r="B76" i="12"/>
  <c r="D75" i="12"/>
  <c r="C75" i="12"/>
  <c r="B75" i="12"/>
  <c r="D74" i="12"/>
  <c r="C74" i="12"/>
  <c r="B74" i="12"/>
  <c r="D73" i="12"/>
  <c r="C73" i="12"/>
  <c r="B73" i="12"/>
  <c r="D72" i="12"/>
  <c r="C72" i="12"/>
  <c r="B72" i="12"/>
  <c r="D71" i="12"/>
  <c r="C71" i="12"/>
  <c r="B71" i="12"/>
  <c r="D70" i="12"/>
  <c r="C70" i="12"/>
  <c r="B70" i="12"/>
  <c r="D69" i="12"/>
  <c r="C69" i="12"/>
  <c r="B69" i="12"/>
  <c r="D68" i="12"/>
  <c r="C68" i="12"/>
  <c r="B68" i="12"/>
  <c r="D67" i="12"/>
  <c r="C67" i="12"/>
  <c r="B67" i="12"/>
  <c r="D66" i="12"/>
  <c r="C66" i="12"/>
  <c r="B66" i="12"/>
  <c r="D65" i="12"/>
  <c r="C65" i="12"/>
  <c r="B65" i="12"/>
  <c r="D64" i="12"/>
  <c r="C64" i="12"/>
  <c r="B64" i="12"/>
  <c r="D63" i="12"/>
  <c r="C63" i="12"/>
  <c r="B63" i="12"/>
  <c r="D62" i="12"/>
  <c r="C62" i="12"/>
  <c r="B62" i="12"/>
  <c r="D61" i="12"/>
  <c r="C61" i="12"/>
  <c r="B61" i="12"/>
  <c r="D60" i="12"/>
  <c r="C60" i="12"/>
  <c r="B60" i="12"/>
  <c r="D59" i="12"/>
  <c r="C59" i="12"/>
  <c r="B59" i="12"/>
  <c r="D58" i="12"/>
  <c r="C58" i="12"/>
  <c r="B58" i="12"/>
  <c r="D57" i="12"/>
  <c r="C57" i="12"/>
  <c r="B57" i="12"/>
  <c r="D56" i="12"/>
  <c r="C56" i="12"/>
  <c r="B56" i="12"/>
  <c r="D55" i="12"/>
  <c r="C55" i="12"/>
  <c r="B55" i="12"/>
  <c r="D54" i="12"/>
  <c r="C54" i="12"/>
  <c r="B54" i="12"/>
  <c r="D53" i="12"/>
  <c r="C53" i="12"/>
  <c r="B53" i="12"/>
  <c r="D52" i="12"/>
  <c r="C52" i="12"/>
  <c r="B52" i="12"/>
  <c r="D51" i="12"/>
  <c r="C51" i="12"/>
  <c r="B51" i="12"/>
  <c r="D50" i="12"/>
  <c r="C50" i="12"/>
  <c r="B50" i="12"/>
  <c r="D49" i="12"/>
  <c r="C49" i="12"/>
  <c r="B49" i="12"/>
  <c r="D48" i="12"/>
  <c r="C48" i="12"/>
  <c r="B48" i="12"/>
  <c r="D47" i="12"/>
  <c r="C47" i="12"/>
  <c r="B47" i="12"/>
  <c r="D46" i="12"/>
  <c r="C46" i="12"/>
  <c r="B46" i="12"/>
  <c r="D45" i="12"/>
  <c r="C45" i="12"/>
  <c r="B45" i="12"/>
  <c r="D44" i="12"/>
  <c r="C44" i="12"/>
  <c r="B44" i="12"/>
  <c r="D43" i="12"/>
  <c r="C43" i="12"/>
  <c r="B43" i="12"/>
  <c r="D42" i="12"/>
  <c r="C42" i="12"/>
  <c r="B42" i="12"/>
  <c r="D41" i="12"/>
  <c r="C41" i="12"/>
  <c r="B41" i="12"/>
  <c r="D40" i="12"/>
  <c r="C40" i="12"/>
  <c r="B40" i="12"/>
  <c r="D39" i="12"/>
  <c r="C39" i="12"/>
  <c r="B39" i="12"/>
  <c r="D38" i="12"/>
  <c r="C38" i="12"/>
  <c r="B38" i="12"/>
  <c r="D37" i="12"/>
  <c r="C37" i="12"/>
  <c r="B37" i="12"/>
  <c r="D36" i="12"/>
  <c r="C36" i="12"/>
  <c r="B36" i="12"/>
  <c r="D35" i="12"/>
  <c r="C35" i="12"/>
  <c r="B35" i="12"/>
  <c r="D34" i="12"/>
  <c r="C34" i="12"/>
  <c r="B34" i="12"/>
  <c r="D33" i="12"/>
  <c r="C33" i="12"/>
  <c r="B33" i="12"/>
  <c r="D32" i="12"/>
  <c r="C32" i="12"/>
  <c r="B32" i="12"/>
  <c r="D31" i="12"/>
  <c r="C31" i="12"/>
  <c r="B31" i="12"/>
  <c r="D30" i="12"/>
  <c r="C30" i="12"/>
  <c r="B30" i="12"/>
  <c r="D29" i="12"/>
  <c r="C29" i="12"/>
  <c r="B29" i="12"/>
  <c r="D28" i="12"/>
  <c r="C28" i="12"/>
  <c r="B28" i="12"/>
  <c r="D27" i="12"/>
  <c r="C27" i="12"/>
  <c r="B27" i="12"/>
  <c r="D26" i="12"/>
  <c r="C26" i="12"/>
  <c r="B26" i="12"/>
  <c r="D25" i="12"/>
  <c r="C25" i="12"/>
  <c r="B25" i="12"/>
  <c r="D24" i="12"/>
  <c r="C24" i="12"/>
  <c r="B24" i="12"/>
  <c r="D23" i="12"/>
  <c r="C23" i="12"/>
  <c r="B23" i="12"/>
  <c r="D22" i="12"/>
  <c r="C22" i="12"/>
  <c r="B22" i="12"/>
  <c r="D21" i="12"/>
  <c r="C21" i="12"/>
  <c r="B21" i="12"/>
  <c r="D20" i="12"/>
  <c r="C20" i="12"/>
  <c r="B20" i="12"/>
  <c r="D19" i="12"/>
  <c r="C19" i="12"/>
  <c r="B19" i="12"/>
  <c r="D18" i="12"/>
  <c r="C18" i="12"/>
  <c r="B18" i="12"/>
  <c r="D17" i="12"/>
  <c r="C17" i="12"/>
  <c r="B17" i="12"/>
  <c r="D16" i="12"/>
  <c r="C16" i="12"/>
  <c r="B16" i="12"/>
  <c r="D15" i="12"/>
  <c r="C15" i="12"/>
  <c r="B15" i="12"/>
  <c r="D14" i="12"/>
  <c r="C14" i="12"/>
  <c r="B14" i="12"/>
  <c r="D13" i="12"/>
  <c r="C13" i="12"/>
  <c r="B13" i="12"/>
  <c r="D12" i="12"/>
  <c r="C12" i="12"/>
  <c r="B12" i="12"/>
  <c r="D11" i="12"/>
  <c r="C11" i="12"/>
  <c r="B11" i="12"/>
  <c r="D10" i="12"/>
  <c r="C10" i="12"/>
  <c r="B10" i="12"/>
  <c r="D9" i="12"/>
  <c r="C9" i="12"/>
  <c r="B9" i="12"/>
  <c r="D8" i="12"/>
  <c r="C8" i="12"/>
  <c r="B8" i="12"/>
  <c r="D7" i="12"/>
  <c r="C7" i="12"/>
  <c r="B7" i="12"/>
  <c r="D6" i="12"/>
  <c r="C6" i="12"/>
  <c r="B6" i="12"/>
  <c r="D5" i="12"/>
  <c r="C5" i="12"/>
  <c r="B5" i="12"/>
  <c r="D4" i="12"/>
  <c r="C4" i="12"/>
  <c r="B4" i="12"/>
  <c r="D3" i="12"/>
  <c r="C3" i="12"/>
  <c r="B3" i="12"/>
  <c r="D122" i="14" l="1"/>
  <c r="D135" i="14"/>
  <c r="D127" i="15"/>
  <c r="E127" i="15" s="1"/>
  <c r="D126" i="14"/>
  <c r="D117" i="14"/>
  <c r="D125" i="14"/>
  <c r="D119" i="15"/>
  <c r="E119" i="15" s="1"/>
  <c r="D108" i="12"/>
  <c r="B132" i="14"/>
  <c r="C119" i="14"/>
  <c r="D130" i="14"/>
  <c r="B127" i="14"/>
  <c r="D118" i="14"/>
  <c r="C117" i="12"/>
  <c r="C123" i="12"/>
  <c r="C124" i="12"/>
  <c r="C126" i="12"/>
  <c r="B130" i="12"/>
  <c r="C131" i="12"/>
  <c r="D110" i="12"/>
  <c r="D112" i="12"/>
  <c r="D124" i="14"/>
  <c r="D123" i="14"/>
  <c r="C132" i="14"/>
  <c r="D131" i="14"/>
  <c r="C127" i="14"/>
  <c r="B119" i="14"/>
  <c r="B116" i="12"/>
  <c r="B118" i="12"/>
  <c r="B125" i="12"/>
  <c r="C130" i="12"/>
  <c r="C132" i="12" s="1"/>
  <c r="C135" i="12"/>
  <c r="C118" i="12"/>
  <c r="B122" i="12"/>
  <c r="C125" i="12"/>
  <c r="D109" i="12"/>
  <c r="B117" i="12"/>
  <c r="C122" i="12"/>
  <c r="D122" i="12" s="1"/>
  <c r="B123" i="12"/>
  <c r="B124" i="12"/>
  <c r="D124" i="12" s="1"/>
  <c r="B126" i="12"/>
  <c r="D126" i="12" s="1"/>
  <c r="B131" i="12"/>
  <c r="B132" i="12" s="1"/>
  <c r="D111" i="12"/>
  <c r="D113" i="12"/>
  <c r="D116" i="14"/>
  <c r="D119" i="14" s="1"/>
  <c r="D118" i="12"/>
  <c r="C116" i="12"/>
  <c r="B135" i="12"/>
  <c r="E119" i="14" l="1"/>
  <c r="D130" i="12"/>
  <c r="D132" i="14"/>
  <c r="E132" i="14" s="1"/>
  <c r="D117" i="12"/>
  <c r="B119" i="12"/>
  <c r="D135" i="12"/>
  <c r="D125" i="12"/>
  <c r="D127" i="14"/>
  <c r="E127" i="14" s="1"/>
  <c r="C119" i="12"/>
  <c r="D131" i="12"/>
  <c r="D132" i="12" s="1"/>
  <c r="E132" i="12" s="1"/>
  <c r="B127" i="12"/>
  <c r="C127" i="12"/>
  <c r="D123" i="12"/>
  <c r="D116" i="12"/>
  <c r="D119" i="12" l="1"/>
  <c r="E119" i="12" s="1"/>
  <c r="D127" i="12"/>
  <c r="E127" i="12" s="1"/>
  <c r="C113" i="11"/>
  <c r="B113" i="11"/>
  <c r="C112" i="11"/>
  <c r="B112" i="11"/>
  <c r="C111" i="11"/>
  <c r="B111" i="11"/>
  <c r="C110" i="11"/>
  <c r="B110" i="11"/>
  <c r="C109" i="11"/>
  <c r="B109" i="11"/>
  <c r="C108" i="11"/>
  <c r="B108" i="11"/>
  <c r="D107" i="11"/>
  <c r="C107" i="11"/>
  <c r="B107" i="11"/>
  <c r="D106" i="11"/>
  <c r="C106" i="11"/>
  <c r="B106" i="11"/>
  <c r="D105" i="11"/>
  <c r="C105" i="11"/>
  <c r="B105" i="11"/>
  <c r="D104" i="11"/>
  <c r="C104" i="11"/>
  <c r="B104" i="11"/>
  <c r="D103" i="11"/>
  <c r="C103" i="11"/>
  <c r="B103" i="11"/>
  <c r="D102" i="11"/>
  <c r="C102" i="11"/>
  <c r="B102" i="11"/>
  <c r="D101" i="11"/>
  <c r="C101" i="11"/>
  <c r="B101" i="11"/>
  <c r="D100" i="11"/>
  <c r="C100" i="11"/>
  <c r="B100" i="11"/>
  <c r="D99" i="11"/>
  <c r="C99" i="11"/>
  <c r="B99" i="11"/>
  <c r="D98" i="11"/>
  <c r="C98" i="11"/>
  <c r="B98" i="11"/>
  <c r="D97" i="11"/>
  <c r="C97" i="11"/>
  <c r="B97" i="11"/>
  <c r="D96" i="11"/>
  <c r="C96" i="11"/>
  <c r="B96" i="11"/>
  <c r="D95" i="11"/>
  <c r="C95" i="11"/>
  <c r="B95" i="11"/>
  <c r="D94" i="11"/>
  <c r="C94" i="11"/>
  <c r="B94" i="11"/>
  <c r="D93" i="11"/>
  <c r="C93" i="11"/>
  <c r="B93" i="11"/>
  <c r="D92" i="11"/>
  <c r="C92" i="11"/>
  <c r="B92" i="11"/>
  <c r="D91" i="11"/>
  <c r="C91" i="11"/>
  <c r="B91" i="11"/>
  <c r="D90" i="11"/>
  <c r="C90" i="11"/>
  <c r="B90" i="11"/>
  <c r="D89" i="11"/>
  <c r="C89" i="11"/>
  <c r="B89" i="11"/>
  <c r="D88" i="11"/>
  <c r="C88" i="11"/>
  <c r="B88" i="11"/>
  <c r="D87" i="11"/>
  <c r="C87" i="11"/>
  <c r="B87" i="11"/>
  <c r="D86" i="11"/>
  <c r="C86" i="11"/>
  <c r="B86" i="11"/>
  <c r="D85" i="11"/>
  <c r="C85" i="11"/>
  <c r="B85" i="11"/>
  <c r="D84" i="11"/>
  <c r="C84" i="11"/>
  <c r="B84" i="11"/>
  <c r="D83" i="11"/>
  <c r="C83" i="11"/>
  <c r="B83" i="11"/>
  <c r="D82" i="11"/>
  <c r="C82" i="11"/>
  <c r="B82" i="11"/>
  <c r="D81" i="11"/>
  <c r="C81" i="11"/>
  <c r="B81" i="11"/>
  <c r="D80" i="11"/>
  <c r="C80" i="11"/>
  <c r="B80" i="11"/>
  <c r="D79" i="11"/>
  <c r="C79" i="11"/>
  <c r="B79" i="11"/>
  <c r="D78" i="11"/>
  <c r="C78" i="11"/>
  <c r="B78" i="11"/>
  <c r="D77" i="11"/>
  <c r="C77" i="11"/>
  <c r="B77" i="11"/>
  <c r="D76" i="11"/>
  <c r="C76" i="11"/>
  <c r="B76" i="11"/>
  <c r="D75" i="11"/>
  <c r="C75" i="11"/>
  <c r="B75" i="11"/>
  <c r="D74" i="11"/>
  <c r="C74" i="11"/>
  <c r="B74" i="11"/>
  <c r="D73" i="11"/>
  <c r="C73" i="11"/>
  <c r="B73" i="11"/>
  <c r="D72" i="11"/>
  <c r="C72" i="11"/>
  <c r="B72" i="11"/>
  <c r="D71" i="11"/>
  <c r="C71" i="11"/>
  <c r="B71" i="11"/>
  <c r="D70" i="11"/>
  <c r="C70" i="11"/>
  <c r="B70" i="11"/>
  <c r="D69" i="11"/>
  <c r="C69" i="11"/>
  <c r="B69" i="11"/>
  <c r="D68" i="11"/>
  <c r="C68" i="11"/>
  <c r="B68" i="11"/>
  <c r="D67" i="11"/>
  <c r="C67" i="11"/>
  <c r="B67" i="11"/>
  <c r="D66" i="11"/>
  <c r="C66" i="11"/>
  <c r="B66" i="11"/>
  <c r="D65" i="11"/>
  <c r="C65" i="11"/>
  <c r="B65" i="11"/>
  <c r="D64" i="11"/>
  <c r="C64" i="11"/>
  <c r="B64" i="11"/>
  <c r="D63" i="11"/>
  <c r="C63" i="11"/>
  <c r="B63" i="11"/>
  <c r="D62" i="11"/>
  <c r="C62" i="11"/>
  <c r="B62" i="11"/>
  <c r="D61" i="11"/>
  <c r="C61" i="11"/>
  <c r="B61" i="11"/>
  <c r="D60" i="11"/>
  <c r="C60" i="11"/>
  <c r="B60" i="11"/>
  <c r="D59" i="11"/>
  <c r="C59" i="11"/>
  <c r="B59" i="11"/>
  <c r="D58" i="11"/>
  <c r="C58" i="11"/>
  <c r="B58" i="11"/>
  <c r="D57" i="11"/>
  <c r="C57" i="11"/>
  <c r="B57" i="11"/>
  <c r="D56" i="11"/>
  <c r="C56" i="11"/>
  <c r="B56" i="11"/>
  <c r="D55" i="11"/>
  <c r="C55" i="11"/>
  <c r="B55" i="11"/>
  <c r="D54" i="11"/>
  <c r="C54" i="11"/>
  <c r="B54" i="11"/>
  <c r="D53" i="11"/>
  <c r="C53" i="11"/>
  <c r="B53" i="11"/>
  <c r="D52" i="11"/>
  <c r="C52" i="11"/>
  <c r="B52" i="11"/>
  <c r="D51" i="11"/>
  <c r="C51" i="11"/>
  <c r="B51" i="11"/>
  <c r="D50" i="11"/>
  <c r="C50" i="11"/>
  <c r="B50" i="11"/>
  <c r="D49" i="11"/>
  <c r="C49" i="11"/>
  <c r="B49" i="11"/>
  <c r="D48" i="11"/>
  <c r="C48" i="11"/>
  <c r="B48" i="11"/>
  <c r="D47" i="11"/>
  <c r="C47" i="11"/>
  <c r="B47" i="11"/>
  <c r="D46" i="11"/>
  <c r="C46" i="11"/>
  <c r="B46" i="11"/>
  <c r="D45" i="11"/>
  <c r="C45" i="11"/>
  <c r="B45" i="11"/>
  <c r="D44" i="11"/>
  <c r="C44" i="11"/>
  <c r="B44" i="11"/>
  <c r="D43" i="11"/>
  <c r="C43" i="11"/>
  <c r="B43" i="11"/>
  <c r="D42" i="11"/>
  <c r="C42" i="11"/>
  <c r="B42" i="11"/>
  <c r="D41" i="11"/>
  <c r="C41" i="11"/>
  <c r="B41" i="11"/>
  <c r="D40" i="11"/>
  <c r="C40" i="11"/>
  <c r="B40" i="11"/>
  <c r="D39" i="11"/>
  <c r="C39" i="11"/>
  <c r="B39" i="11"/>
  <c r="D38" i="11"/>
  <c r="C38" i="11"/>
  <c r="B38" i="11"/>
  <c r="D37" i="11"/>
  <c r="C37" i="11"/>
  <c r="B37" i="11"/>
  <c r="D36" i="11"/>
  <c r="C36" i="11"/>
  <c r="B36" i="11"/>
  <c r="D35" i="11"/>
  <c r="C35" i="11"/>
  <c r="B35" i="11"/>
  <c r="D34" i="11"/>
  <c r="C34" i="11"/>
  <c r="B34" i="11"/>
  <c r="D33" i="11"/>
  <c r="C33" i="11"/>
  <c r="B33" i="11"/>
  <c r="D32" i="11"/>
  <c r="C32" i="11"/>
  <c r="B32" i="11"/>
  <c r="D31" i="11"/>
  <c r="C31" i="11"/>
  <c r="B31" i="11"/>
  <c r="D30" i="11"/>
  <c r="C30" i="11"/>
  <c r="B30" i="11"/>
  <c r="D29" i="11"/>
  <c r="C29" i="11"/>
  <c r="B29" i="11"/>
  <c r="D28" i="11"/>
  <c r="C28" i="11"/>
  <c r="B28" i="11"/>
  <c r="D27" i="11"/>
  <c r="C27" i="11"/>
  <c r="B27" i="11"/>
  <c r="D26" i="11"/>
  <c r="C26" i="11"/>
  <c r="B26" i="11"/>
  <c r="D25" i="11"/>
  <c r="C25" i="11"/>
  <c r="B25" i="11"/>
  <c r="D24" i="11"/>
  <c r="C24" i="11"/>
  <c r="B24" i="11"/>
  <c r="D23" i="11"/>
  <c r="C23" i="11"/>
  <c r="B23" i="11"/>
  <c r="D22" i="11"/>
  <c r="C22" i="11"/>
  <c r="B22" i="11"/>
  <c r="D21" i="11"/>
  <c r="C21" i="11"/>
  <c r="B21" i="11"/>
  <c r="D20" i="11"/>
  <c r="C20" i="11"/>
  <c r="B20" i="11"/>
  <c r="D19" i="11"/>
  <c r="C19" i="11"/>
  <c r="B19" i="11"/>
  <c r="D18" i="11"/>
  <c r="C18" i="11"/>
  <c r="B18" i="11"/>
  <c r="D17" i="11"/>
  <c r="C17" i="11"/>
  <c r="B17" i="11"/>
  <c r="D16" i="11"/>
  <c r="C16" i="11"/>
  <c r="B16" i="11"/>
  <c r="D15" i="11"/>
  <c r="C15" i="11"/>
  <c r="B15" i="11"/>
  <c r="D14" i="11"/>
  <c r="C14" i="11"/>
  <c r="B14" i="11"/>
  <c r="D13" i="11"/>
  <c r="C13" i="11"/>
  <c r="B13" i="11"/>
  <c r="D12" i="11"/>
  <c r="C12" i="11"/>
  <c r="B12" i="11"/>
  <c r="D11" i="11"/>
  <c r="C11" i="11"/>
  <c r="B11" i="11"/>
  <c r="D10" i="11"/>
  <c r="C10" i="11"/>
  <c r="B10" i="11"/>
  <c r="D9" i="11"/>
  <c r="C9" i="11"/>
  <c r="B9" i="11"/>
  <c r="D8" i="11"/>
  <c r="C8" i="11"/>
  <c r="B8" i="11"/>
  <c r="D7" i="11"/>
  <c r="C7" i="11"/>
  <c r="B7" i="11"/>
  <c r="D6" i="11"/>
  <c r="C6" i="11"/>
  <c r="B6" i="11"/>
  <c r="D5" i="11"/>
  <c r="C5" i="11"/>
  <c r="B5" i="11"/>
  <c r="D4" i="11"/>
  <c r="C4" i="11"/>
  <c r="B4" i="11"/>
  <c r="D3" i="11"/>
  <c r="C3" i="11"/>
  <c r="B3" i="11"/>
  <c r="D112" i="11" l="1"/>
  <c r="D110" i="11"/>
  <c r="C135" i="11"/>
  <c r="C118" i="11"/>
  <c r="B122" i="11"/>
  <c r="C125" i="11"/>
  <c r="D109" i="11"/>
  <c r="D111" i="11"/>
  <c r="B117" i="11"/>
  <c r="C122" i="11"/>
  <c r="B123" i="11"/>
  <c r="C123" i="11"/>
  <c r="B124" i="11"/>
  <c r="B126" i="11"/>
  <c r="C130" i="11"/>
  <c r="B131" i="11"/>
  <c r="D113" i="11"/>
  <c r="C116" i="11"/>
  <c r="C117" i="11"/>
  <c r="C124" i="11"/>
  <c r="C126" i="11"/>
  <c r="B130" i="11"/>
  <c r="C131" i="11"/>
  <c r="D108" i="11"/>
  <c r="B116" i="11"/>
  <c r="B118" i="11"/>
  <c r="B125" i="11"/>
  <c r="D125" i="11" s="1"/>
  <c r="B119" i="11"/>
  <c r="B135" i="11"/>
  <c r="D122" i="11"/>
  <c r="D135" i="11" l="1"/>
  <c r="D116" i="11"/>
  <c r="D126" i="11"/>
  <c r="D131" i="11"/>
  <c r="D118" i="11"/>
  <c r="D130" i="11"/>
  <c r="B132" i="11"/>
  <c r="D123" i="11"/>
  <c r="C119" i="11"/>
  <c r="C127" i="11"/>
  <c r="C132" i="11"/>
  <c r="B127" i="11"/>
  <c r="D124" i="11"/>
  <c r="D117" i="11"/>
  <c r="D132" i="11" l="1"/>
  <c r="E132" i="11" s="1"/>
  <c r="D119" i="11"/>
  <c r="E119" i="11" s="1"/>
  <c r="D127" i="11"/>
  <c r="E127" i="11" s="1"/>
  <c r="C113" i="9"/>
  <c r="B113" i="9"/>
  <c r="C112" i="9"/>
  <c r="B112" i="9"/>
  <c r="C111" i="9"/>
  <c r="B111" i="9"/>
  <c r="C110" i="9"/>
  <c r="B110" i="9"/>
  <c r="C109" i="9"/>
  <c r="B109" i="9"/>
  <c r="C108" i="9"/>
  <c r="B108" i="9"/>
  <c r="D107" i="9"/>
  <c r="C107" i="9"/>
  <c r="B107" i="9"/>
  <c r="D106" i="9"/>
  <c r="C106" i="9"/>
  <c r="B106" i="9"/>
  <c r="D105" i="9"/>
  <c r="C105" i="9"/>
  <c r="B105" i="9"/>
  <c r="D104" i="9"/>
  <c r="C104" i="9"/>
  <c r="B104" i="9"/>
  <c r="D103" i="9"/>
  <c r="C103" i="9"/>
  <c r="B103" i="9"/>
  <c r="D102" i="9"/>
  <c r="C102" i="9"/>
  <c r="B102" i="9"/>
  <c r="D101" i="9"/>
  <c r="C101" i="9"/>
  <c r="B101" i="9"/>
  <c r="D100" i="9"/>
  <c r="C100" i="9"/>
  <c r="B100" i="9"/>
  <c r="D99" i="9"/>
  <c r="C99" i="9"/>
  <c r="B99" i="9"/>
  <c r="D98" i="9"/>
  <c r="C98" i="9"/>
  <c r="B98" i="9"/>
  <c r="D97" i="9"/>
  <c r="C97" i="9"/>
  <c r="B97" i="9"/>
  <c r="D96" i="9"/>
  <c r="C96" i="9"/>
  <c r="B96" i="9"/>
  <c r="D95" i="9"/>
  <c r="C95" i="9"/>
  <c r="B95" i="9"/>
  <c r="D94" i="9"/>
  <c r="C94" i="9"/>
  <c r="B94" i="9"/>
  <c r="D93" i="9"/>
  <c r="C93" i="9"/>
  <c r="B93" i="9"/>
  <c r="D92" i="9"/>
  <c r="C92" i="9"/>
  <c r="B92" i="9"/>
  <c r="D91" i="9"/>
  <c r="C91" i="9"/>
  <c r="B91" i="9"/>
  <c r="D90" i="9"/>
  <c r="C90" i="9"/>
  <c r="B90" i="9"/>
  <c r="D89" i="9"/>
  <c r="C89" i="9"/>
  <c r="B89" i="9"/>
  <c r="D88" i="9"/>
  <c r="C88" i="9"/>
  <c r="B88" i="9"/>
  <c r="D87" i="9"/>
  <c r="C87" i="9"/>
  <c r="B87" i="9"/>
  <c r="D86" i="9"/>
  <c r="C86" i="9"/>
  <c r="B86" i="9"/>
  <c r="D85" i="9"/>
  <c r="C85" i="9"/>
  <c r="B85" i="9"/>
  <c r="D84" i="9"/>
  <c r="C84" i="9"/>
  <c r="B84" i="9"/>
  <c r="D83" i="9"/>
  <c r="C83" i="9"/>
  <c r="B83" i="9"/>
  <c r="D82" i="9"/>
  <c r="C82" i="9"/>
  <c r="B82" i="9"/>
  <c r="D81" i="9"/>
  <c r="C81" i="9"/>
  <c r="B81" i="9"/>
  <c r="D80" i="9"/>
  <c r="C80" i="9"/>
  <c r="B80" i="9"/>
  <c r="D79" i="9"/>
  <c r="C79" i="9"/>
  <c r="B79" i="9"/>
  <c r="D78" i="9"/>
  <c r="C78" i="9"/>
  <c r="B78" i="9"/>
  <c r="D77" i="9"/>
  <c r="C77" i="9"/>
  <c r="B77" i="9"/>
  <c r="D76" i="9"/>
  <c r="C76" i="9"/>
  <c r="B76" i="9"/>
  <c r="D75" i="9"/>
  <c r="C75" i="9"/>
  <c r="B75" i="9"/>
  <c r="D74" i="9"/>
  <c r="C74" i="9"/>
  <c r="B74" i="9"/>
  <c r="D73" i="9"/>
  <c r="C73" i="9"/>
  <c r="B73" i="9"/>
  <c r="D72" i="9"/>
  <c r="C72" i="9"/>
  <c r="B72" i="9"/>
  <c r="D71" i="9"/>
  <c r="C71" i="9"/>
  <c r="B71" i="9"/>
  <c r="D70" i="9"/>
  <c r="C70" i="9"/>
  <c r="B70" i="9"/>
  <c r="D69" i="9"/>
  <c r="C69" i="9"/>
  <c r="B69" i="9"/>
  <c r="D68" i="9"/>
  <c r="C68" i="9"/>
  <c r="B68" i="9"/>
  <c r="D67" i="9"/>
  <c r="C67" i="9"/>
  <c r="B67" i="9"/>
  <c r="D66" i="9"/>
  <c r="C66" i="9"/>
  <c r="B66" i="9"/>
  <c r="D65" i="9"/>
  <c r="C65" i="9"/>
  <c r="B65" i="9"/>
  <c r="D64" i="9"/>
  <c r="C64" i="9"/>
  <c r="B64" i="9"/>
  <c r="D63" i="9"/>
  <c r="C63" i="9"/>
  <c r="B63" i="9"/>
  <c r="D62" i="9"/>
  <c r="C62" i="9"/>
  <c r="B62" i="9"/>
  <c r="D61" i="9"/>
  <c r="C61" i="9"/>
  <c r="B61" i="9"/>
  <c r="D60" i="9"/>
  <c r="C60" i="9"/>
  <c r="B60" i="9"/>
  <c r="D59" i="9"/>
  <c r="C59" i="9"/>
  <c r="B59" i="9"/>
  <c r="D58" i="9"/>
  <c r="C58" i="9"/>
  <c r="B58" i="9"/>
  <c r="D57" i="9"/>
  <c r="C57" i="9"/>
  <c r="B57" i="9"/>
  <c r="D56" i="9"/>
  <c r="C56" i="9"/>
  <c r="B56" i="9"/>
  <c r="D55" i="9"/>
  <c r="C55" i="9"/>
  <c r="B55" i="9"/>
  <c r="D54" i="9"/>
  <c r="C54" i="9"/>
  <c r="B54" i="9"/>
  <c r="D53" i="9"/>
  <c r="C53" i="9"/>
  <c r="B53" i="9"/>
  <c r="D52" i="9"/>
  <c r="C52" i="9"/>
  <c r="B52" i="9"/>
  <c r="D51" i="9"/>
  <c r="C51" i="9"/>
  <c r="B51" i="9"/>
  <c r="D50" i="9"/>
  <c r="C50" i="9"/>
  <c r="B50" i="9"/>
  <c r="D49" i="9"/>
  <c r="C49" i="9"/>
  <c r="B49" i="9"/>
  <c r="D48" i="9"/>
  <c r="C48" i="9"/>
  <c r="B48" i="9"/>
  <c r="D47" i="9"/>
  <c r="C47" i="9"/>
  <c r="B47" i="9"/>
  <c r="D46" i="9"/>
  <c r="C46" i="9"/>
  <c r="B46" i="9"/>
  <c r="D45" i="9"/>
  <c r="C45" i="9"/>
  <c r="B45" i="9"/>
  <c r="D44" i="9"/>
  <c r="C44" i="9"/>
  <c r="B44" i="9"/>
  <c r="D43" i="9"/>
  <c r="C43" i="9"/>
  <c r="B43" i="9"/>
  <c r="D42" i="9"/>
  <c r="C42" i="9"/>
  <c r="B42" i="9"/>
  <c r="D41" i="9"/>
  <c r="C41" i="9"/>
  <c r="B41" i="9"/>
  <c r="D40" i="9"/>
  <c r="C40" i="9"/>
  <c r="B40" i="9"/>
  <c r="D39" i="9"/>
  <c r="C39" i="9"/>
  <c r="B39" i="9"/>
  <c r="D38" i="9"/>
  <c r="C38" i="9"/>
  <c r="B38" i="9"/>
  <c r="D37" i="9"/>
  <c r="C37" i="9"/>
  <c r="B37" i="9"/>
  <c r="D36" i="9"/>
  <c r="C36" i="9"/>
  <c r="B36" i="9"/>
  <c r="D35" i="9"/>
  <c r="C35" i="9"/>
  <c r="B35" i="9"/>
  <c r="D34" i="9"/>
  <c r="C34" i="9"/>
  <c r="B34" i="9"/>
  <c r="D33" i="9"/>
  <c r="C33" i="9"/>
  <c r="B33" i="9"/>
  <c r="D32" i="9"/>
  <c r="C32" i="9"/>
  <c r="B32" i="9"/>
  <c r="D31" i="9"/>
  <c r="C31" i="9"/>
  <c r="B31" i="9"/>
  <c r="D30" i="9"/>
  <c r="C30" i="9"/>
  <c r="B30" i="9"/>
  <c r="D29" i="9"/>
  <c r="C29" i="9"/>
  <c r="B29" i="9"/>
  <c r="D28" i="9"/>
  <c r="C28" i="9"/>
  <c r="B28" i="9"/>
  <c r="D27" i="9"/>
  <c r="C27" i="9"/>
  <c r="B27" i="9"/>
  <c r="D26" i="9"/>
  <c r="C26" i="9"/>
  <c r="B26" i="9"/>
  <c r="D25" i="9"/>
  <c r="C25" i="9"/>
  <c r="B25" i="9"/>
  <c r="D24" i="9"/>
  <c r="C24" i="9"/>
  <c r="B24" i="9"/>
  <c r="D23" i="9"/>
  <c r="C23" i="9"/>
  <c r="B23" i="9"/>
  <c r="D22" i="9"/>
  <c r="C22" i="9"/>
  <c r="B22" i="9"/>
  <c r="D21" i="9"/>
  <c r="C21" i="9"/>
  <c r="B21" i="9"/>
  <c r="D20" i="9"/>
  <c r="C20" i="9"/>
  <c r="B20" i="9"/>
  <c r="D19" i="9"/>
  <c r="C19" i="9"/>
  <c r="B19" i="9"/>
  <c r="D18" i="9"/>
  <c r="C18" i="9"/>
  <c r="B18" i="9"/>
  <c r="D17" i="9"/>
  <c r="C17" i="9"/>
  <c r="B17" i="9"/>
  <c r="D16" i="9"/>
  <c r="C16" i="9"/>
  <c r="B16" i="9"/>
  <c r="D15" i="9"/>
  <c r="C15" i="9"/>
  <c r="B15" i="9"/>
  <c r="D14" i="9"/>
  <c r="C14" i="9"/>
  <c r="B14" i="9"/>
  <c r="D13" i="9"/>
  <c r="C13" i="9"/>
  <c r="B13" i="9"/>
  <c r="D12" i="9"/>
  <c r="C12" i="9"/>
  <c r="B12" i="9"/>
  <c r="D11" i="9"/>
  <c r="C11" i="9"/>
  <c r="B11" i="9"/>
  <c r="D10" i="9"/>
  <c r="C10" i="9"/>
  <c r="B10" i="9"/>
  <c r="D9" i="9"/>
  <c r="C9" i="9"/>
  <c r="B9" i="9"/>
  <c r="D8" i="9"/>
  <c r="C8" i="9"/>
  <c r="B8" i="9"/>
  <c r="D7" i="9"/>
  <c r="C7" i="9"/>
  <c r="B7" i="9"/>
  <c r="D6" i="9"/>
  <c r="C6" i="9"/>
  <c r="B6" i="9"/>
  <c r="D5" i="9"/>
  <c r="C5" i="9"/>
  <c r="B5" i="9"/>
  <c r="D4" i="9"/>
  <c r="C4" i="9"/>
  <c r="B4" i="9"/>
  <c r="D3" i="9"/>
  <c r="C3" i="9"/>
  <c r="B3" i="9"/>
  <c r="D109" i="9" l="1"/>
  <c r="D112" i="9"/>
  <c r="D111" i="9"/>
  <c r="D113" i="9"/>
  <c r="B116" i="9"/>
  <c r="B118" i="9"/>
  <c r="B125" i="9"/>
  <c r="D110" i="9"/>
  <c r="C135" i="9"/>
  <c r="C118" i="9"/>
  <c r="D118" i="9" s="1"/>
  <c r="B122" i="9"/>
  <c r="C125" i="9"/>
  <c r="D125" i="9" s="1"/>
  <c r="B117" i="9"/>
  <c r="C122" i="9"/>
  <c r="B123" i="9"/>
  <c r="B124" i="9"/>
  <c r="B126" i="9"/>
  <c r="C130" i="9"/>
  <c r="B131" i="9"/>
  <c r="C117" i="9"/>
  <c r="C123" i="9"/>
  <c r="C124" i="9"/>
  <c r="C126" i="9"/>
  <c r="B130" i="9"/>
  <c r="B132" i="9" s="1"/>
  <c r="C131" i="9"/>
  <c r="D108" i="9"/>
  <c r="C116" i="9"/>
  <c r="B135" i="9"/>
  <c r="C113" i="7"/>
  <c r="B113" i="7"/>
  <c r="C112" i="7"/>
  <c r="B112" i="7"/>
  <c r="C111" i="7"/>
  <c r="B111" i="7"/>
  <c r="C110" i="7"/>
  <c r="B110" i="7"/>
  <c r="C109" i="7"/>
  <c r="B109" i="7"/>
  <c r="D109" i="7" s="1"/>
  <c r="C108" i="7"/>
  <c r="B108" i="7"/>
  <c r="D107" i="7"/>
  <c r="C107" i="7"/>
  <c r="B107" i="7"/>
  <c r="D106" i="7"/>
  <c r="C106" i="7"/>
  <c r="B106" i="7"/>
  <c r="D105" i="7"/>
  <c r="C105" i="7"/>
  <c r="B105" i="7"/>
  <c r="D104" i="7"/>
  <c r="C104" i="7"/>
  <c r="B104" i="7"/>
  <c r="D103" i="7"/>
  <c r="C103" i="7"/>
  <c r="B103" i="7"/>
  <c r="D102" i="7"/>
  <c r="C102" i="7"/>
  <c r="B102" i="7"/>
  <c r="D101" i="7"/>
  <c r="C101" i="7"/>
  <c r="B101" i="7"/>
  <c r="D100" i="7"/>
  <c r="C100" i="7"/>
  <c r="B100" i="7"/>
  <c r="D99" i="7"/>
  <c r="C99" i="7"/>
  <c r="B99" i="7"/>
  <c r="D98" i="7"/>
  <c r="C98" i="7"/>
  <c r="B98" i="7"/>
  <c r="D97" i="7"/>
  <c r="C97" i="7"/>
  <c r="B97" i="7"/>
  <c r="D96" i="7"/>
  <c r="C96" i="7"/>
  <c r="B96" i="7"/>
  <c r="D95" i="7"/>
  <c r="C95" i="7"/>
  <c r="B95" i="7"/>
  <c r="D94" i="7"/>
  <c r="C94" i="7"/>
  <c r="B94" i="7"/>
  <c r="D93" i="7"/>
  <c r="C93" i="7"/>
  <c r="B93" i="7"/>
  <c r="D92" i="7"/>
  <c r="C92" i="7"/>
  <c r="B92" i="7"/>
  <c r="D91" i="7"/>
  <c r="C91" i="7"/>
  <c r="B91" i="7"/>
  <c r="D90" i="7"/>
  <c r="C90" i="7"/>
  <c r="B90" i="7"/>
  <c r="D89" i="7"/>
  <c r="C89" i="7"/>
  <c r="B89" i="7"/>
  <c r="D88" i="7"/>
  <c r="C88" i="7"/>
  <c r="B88" i="7"/>
  <c r="D87" i="7"/>
  <c r="C87" i="7"/>
  <c r="B87" i="7"/>
  <c r="D86" i="7"/>
  <c r="C86" i="7"/>
  <c r="B86" i="7"/>
  <c r="D85" i="7"/>
  <c r="C85" i="7"/>
  <c r="B85" i="7"/>
  <c r="D84" i="7"/>
  <c r="C84" i="7"/>
  <c r="B84" i="7"/>
  <c r="D83" i="7"/>
  <c r="C83" i="7"/>
  <c r="B83" i="7"/>
  <c r="D82" i="7"/>
  <c r="C82" i="7"/>
  <c r="B82" i="7"/>
  <c r="D81" i="7"/>
  <c r="C81" i="7"/>
  <c r="B81" i="7"/>
  <c r="D80" i="7"/>
  <c r="C80" i="7"/>
  <c r="B80" i="7"/>
  <c r="D79" i="7"/>
  <c r="C79" i="7"/>
  <c r="B79" i="7"/>
  <c r="D78" i="7"/>
  <c r="C78" i="7"/>
  <c r="B78" i="7"/>
  <c r="D77" i="7"/>
  <c r="C77" i="7"/>
  <c r="B77" i="7"/>
  <c r="D76" i="7"/>
  <c r="C76" i="7"/>
  <c r="B76" i="7"/>
  <c r="D75" i="7"/>
  <c r="C75" i="7"/>
  <c r="B75" i="7"/>
  <c r="D74" i="7"/>
  <c r="C74" i="7"/>
  <c r="B74" i="7"/>
  <c r="D73" i="7"/>
  <c r="C73" i="7"/>
  <c r="B73" i="7"/>
  <c r="D72" i="7"/>
  <c r="C72" i="7"/>
  <c r="B72" i="7"/>
  <c r="D71" i="7"/>
  <c r="C71" i="7"/>
  <c r="B71" i="7"/>
  <c r="D70" i="7"/>
  <c r="C70" i="7"/>
  <c r="B70" i="7"/>
  <c r="D69" i="7"/>
  <c r="C69" i="7"/>
  <c r="B69" i="7"/>
  <c r="D68" i="7"/>
  <c r="C68" i="7"/>
  <c r="B68" i="7"/>
  <c r="D67" i="7"/>
  <c r="C67" i="7"/>
  <c r="B67" i="7"/>
  <c r="D66" i="7"/>
  <c r="C66" i="7"/>
  <c r="B66" i="7"/>
  <c r="D65" i="7"/>
  <c r="C65" i="7"/>
  <c r="B65" i="7"/>
  <c r="D64" i="7"/>
  <c r="C64" i="7"/>
  <c r="B64" i="7"/>
  <c r="D63" i="7"/>
  <c r="C63" i="7"/>
  <c r="B63" i="7"/>
  <c r="D62" i="7"/>
  <c r="C62" i="7"/>
  <c r="B62" i="7"/>
  <c r="D61" i="7"/>
  <c r="C61" i="7"/>
  <c r="B61" i="7"/>
  <c r="D60" i="7"/>
  <c r="C60" i="7"/>
  <c r="B60" i="7"/>
  <c r="D59" i="7"/>
  <c r="C59" i="7"/>
  <c r="B59" i="7"/>
  <c r="D58" i="7"/>
  <c r="C58" i="7"/>
  <c r="B58" i="7"/>
  <c r="D57" i="7"/>
  <c r="C57" i="7"/>
  <c r="B57" i="7"/>
  <c r="D56" i="7"/>
  <c r="C56" i="7"/>
  <c r="B56" i="7"/>
  <c r="D55" i="7"/>
  <c r="C55" i="7"/>
  <c r="B55" i="7"/>
  <c r="D54" i="7"/>
  <c r="C54" i="7"/>
  <c r="B54" i="7"/>
  <c r="D53" i="7"/>
  <c r="C53" i="7"/>
  <c r="B53" i="7"/>
  <c r="D52" i="7"/>
  <c r="C52" i="7"/>
  <c r="B52" i="7"/>
  <c r="D51" i="7"/>
  <c r="C51" i="7"/>
  <c r="B51" i="7"/>
  <c r="D50" i="7"/>
  <c r="C50" i="7"/>
  <c r="B50" i="7"/>
  <c r="D49" i="7"/>
  <c r="C49" i="7"/>
  <c r="B49" i="7"/>
  <c r="D48" i="7"/>
  <c r="C48" i="7"/>
  <c r="B48" i="7"/>
  <c r="D47" i="7"/>
  <c r="C47" i="7"/>
  <c r="B47" i="7"/>
  <c r="D46" i="7"/>
  <c r="C46" i="7"/>
  <c r="B46" i="7"/>
  <c r="D45" i="7"/>
  <c r="C45" i="7"/>
  <c r="B45" i="7"/>
  <c r="D44" i="7"/>
  <c r="C44" i="7"/>
  <c r="B44" i="7"/>
  <c r="D43" i="7"/>
  <c r="C43" i="7"/>
  <c r="C125" i="7" s="1"/>
  <c r="B43" i="7"/>
  <c r="D42" i="7"/>
  <c r="C42" i="7"/>
  <c r="B42" i="7"/>
  <c r="D41" i="7"/>
  <c r="C41" i="7"/>
  <c r="B41" i="7"/>
  <c r="D40" i="7"/>
  <c r="C40" i="7"/>
  <c r="B40" i="7"/>
  <c r="D39" i="7"/>
  <c r="C39" i="7"/>
  <c r="B39" i="7"/>
  <c r="D38" i="7"/>
  <c r="C38" i="7"/>
  <c r="B38" i="7"/>
  <c r="D37" i="7"/>
  <c r="C37" i="7"/>
  <c r="B37" i="7"/>
  <c r="D36" i="7"/>
  <c r="C36" i="7"/>
  <c r="B36" i="7"/>
  <c r="D35" i="7"/>
  <c r="C35" i="7"/>
  <c r="B35" i="7"/>
  <c r="D34" i="7"/>
  <c r="C34" i="7"/>
  <c r="B34" i="7"/>
  <c r="D33" i="7"/>
  <c r="C33" i="7"/>
  <c r="B33" i="7"/>
  <c r="D32" i="7"/>
  <c r="C32" i="7"/>
  <c r="B32" i="7"/>
  <c r="D31" i="7"/>
  <c r="C31" i="7"/>
  <c r="B31" i="7"/>
  <c r="D30" i="7"/>
  <c r="C30" i="7"/>
  <c r="B30" i="7"/>
  <c r="D29" i="7"/>
  <c r="C29" i="7"/>
  <c r="B29" i="7"/>
  <c r="D28" i="7"/>
  <c r="C28" i="7"/>
  <c r="B28" i="7"/>
  <c r="D27" i="7"/>
  <c r="C27" i="7"/>
  <c r="B27" i="7"/>
  <c r="D26" i="7"/>
  <c r="C26" i="7"/>
  <c r="B26" i="7"/>
  <c r="D25" i="7"/>
  <c r="C25" i="7"/>
  <c r="B25" i="7"/>
  <c r="D24" i="7"/>
  <c r="C24" i="7"/>
  <c r="B24" i="7"/>
  <c r="D23" i="7"/>
  <c r="C23" i="7"/>
  <c r="B23" i="7"/>
  <c r="D22" i="7"/>
  <c r="C22" i="7"/>
  <c r="B22" i="7"/>
  <c r="D21" i="7"/>
  <c r="C21" i="7"/>
  <c r="B21" i="7"/>
  <c r="D20" i="7"/>
  <c r="C20" i="7"/>
  <c r="B20" i="7"/>
  <c r="D19" i="7"/>
  <c r="C19" i="7"/>
  <c r="B19" i="7"/>
  <c r="D18" i="7"/>
  <c r="C18" i="7"/>
  <c r="B18" i="7"/>
  <c r="B122" i="7" s="1"/>
  <c r="D17" i="7"/>
  <c r="C17" i="7"/>
  <c r="B17" i="7"/>
  <c r="D16" i="7"/>
  <c r="C16" i="7"/>
  <c r="B16" i="7"/>
  <c r="D15" i="7"/>
  <c r="C15" i="7"/>
  <c r="C118" i="7" s="1"/>
  <c r="B15" i="7"/>
  <c r="D14" i="7"/>
  <c r="C14" i="7"/>
  <c r="B14" i="7"/>
  <c r="D13" i="7"/>
  <c r="C13" i="7"/>
  <c r="B13" i="7"/>
  <c r="D12" i="7"/>
  <c r="C12" i="7"/>
  <c r="B12" i="7"/>
  <c r="D11" i="7"/>
  <c r="C11" i="7"/>
  <c r="B11" i="7"/>
  <c r="D10" i="7"/>
  <c r="C10" i="7"/>
  <c r="B10" i="7"/>
  <c r="D9" i="7"/>
  <c r="C9" i="7"/>
  <c r="B9" i="7"/>
  <c r="D8" i="7"/>
  <c r="C8" i="7"/>
  <c r="B8" i="7"/>
  <c r="D7" i="7"/>
  <c r="C7" i="7"/>
  <c r="B7" i="7"/>
  <c r="D6" i="7"/>
  <c r="C6" i="7"/>
  <c r="B6" i="7"/>
  <c r="D5" i="7"/>
  <c r="C5" i="7"/>
  <c r="B5" i="7"/>
  <c r="D4" i="7"/>
  <c r="C4" i="7"/>
  <c r="B4" i="7"/>
  <c r="D3" i="7"/>
  <c r="C3" i="7"/>
  <c r="B3" i="7"/>
  <c r="C135" i="7" l="1"/>
  <c r="D135" i="9"/>
  <c r="D122" i="9"/>
  <c r="D130" i="9"/>
  <c r="D112" i="7"/>
  <c r="D108" i="7"/>
  <c r="C119" i="9"/>
  <c r="D111" i="7"/>
  <c r="D126" i="9"/>
  <c r="D117" i="9"/>
  <c r="C117" i="7"/>
  <c r="C123" i="7"/>
  <c r="C124" i="7"/>
  <c r="C126" i="7"/>
  <c r="B130" i="7"/>
  <c r="C131" i="7"/>
  <c r="C132" i="9"/>
  <c r="C127" i="9"/>
  <c r="B116" i="7"/>
  <c r="B118" i="7"/>
  <c r="D118" i="7" s="1"/>
  <c r="B125" i="7"/>
  <c r="D125" i="7" s="1"/>
  <c r="C130" i="7"/>
  <c r="D110" i="7"/>
  <c r="B127" i="9"/>
  <c r="D124" i="9"/>
  <c r="B117" i="7"/>
  <c r="C122" i="7"/>
  <c r="B123" i="7"/>
  <c r="D123" i="7" s="1"/>
  <c r="B124" i="7"/>
  <c r="D124" i="7" s="1"/>
  <c r="B126" i="7"/>
  <c r="B131" i="7"/>
  <c r="D113" i="7"/>
  <c r="B119" i="9"/>
  <c r="D131" i="9"/>
  <c r="D132" i="9" s="1"/>
  <c r="E132" i="9" s="1"/>
  <c r="D123" i="9"/>
  <c r="D116" i="9"/>
  <c r="D119" i="9" s="1"/>
  <c r="E119" i="9" s="1"/>
  <c r="D130" i="7"/>
  <c r="C116" i="7"/>
  <c r="C119" i="7" s="1"/>
  <c r="B135" i="7"/>
  <c r="D135" i="7" s="1"/>
  <c r="D117" i="7" l="1"/>
  <c r="D131" i="7"/>
  <c r="D132" i="7" s="1"/>
  <c r="E132" i="7" s="1"/>
  <c r="B119" i="7"/>
  <c r="D127" i="9"/>
  <c r="E127" i="9" s="1"/>
  <c r="B132" i="7"/>
  <c r="C132" i="7"/>
  <c r="B127" i="7"/>
  <c r="C127" i="7"/>
  <c r="D122" i="7"/>
  <c r="D126" i="7"/>
  <c r="D116" i="7"/>
  <c r="D119" i="7" s="1"/>
  <c r="E119" i="7" s="1"/>
  <c r="D127" i="7" l="1"/>
  <c r="E127" i="7" s="1"/>
  <c r="C113" i="2"/>
  <c r="B113" i="2"/>
  <c r="D113" i="2" s="1"/>
  <c r="C112" i="2"/>
  <c r="B112" i="2"/>
  <c r="D112" i="2" s="1"/>
  <c r="D111" i="2"/>
  <c r="C111" i="2"/>
  <c r="B111" i="2"/>
  <c r="C110" i="2"/>
  <c r="D110" i="2" s="1"/>
  <c r="B110" i="2"/>
  <c r="C109" i="2"/>
  <c r="B109" i="2"/>
  <c r="D109" i="2" s="1"/>
  <c r="C108" i="2"/>
  <c r="B108" i="2"/>
  <c r="D108" i="2" s="1"/>
  <c r="D107" i="2"/>
  <c r="C107" i="2"/>
  <c r="B107" i="2"/>
  <c r="D106" i="2"/>
  <c r="C106" i="2"/>
  <c r="B106" i="2"/>
  <c r="D105" i="2"/>
  <c r="C105" i="2"/>
  <c r="B105" i="2"/>
  <c r="D104" i="2"/>
  <c r="C104" i="2"/>
  <c r="B104" i="2"/>
  <c r="D103" i="2"/>
  <c r="C103" i="2"/>
  <c r="B103" i="2"/>
  <c r="D102" i="2"/>
  <c r="C102" i="2"/>
  <c r="B102" i="2"/>
  <c r="D101" i="2"/>
  <c r="C101" i="2"/>
  <c r="B101" i="2"/>
  <c r="D100" i="2"/>
  <c r="C100" i="2"/>
  <c r="B100" i="2"/>
  <c r="D99" i="2"/>
  <c r="C99" i="2"/>
  <c r="B99" i="2"/>
  <c r="D98" i="2"/>
  <c r="C98" i="2"/>
  <c r="B98" i="2"/>
  <c r="D97" i="2"/>
  <c r="C97" i="2"/>
  <c r="B97" i="2"/>
  <c r="D96" i="2"/>
  <c r="C96" i="2"/>
  <c r="B96" i="2"/>
  <c r="D95" i="2"/>
  <c r="C95" i="2"/>
  <c r="B95" i="2"/>
  <c r="D94" i="2"/>
  <c r="C94" i="2"/>
  <c r="B94" i="2"/>
  <c r="D93" i="2"/>
  <c r="C93" i="2"/>
  <c r="B93" i="2"/>
  <c r="D92" i="2"/>
  <c r="C92" i="2"/>
  <c r="B92" i="2"/>
  <c r="D91" i="2"/>
  <c r="C91" i="2"/>
  <c r="B91" i="2"/>
  <c r="D90" i="2"/>
  <c r="C90" i="2"/>
  <c r="B90" i="2"/>
  <c r="D89" i="2"/>
  <c r="C89" i="2"/>
  <c r="B89" i="2"/>
  <c r="D88" i="2"/>
  <c r="C88" i="2"/>
  <c r="B88" i="2"/>
  <c r="D87" i="2"/>
  <c r="C87" i="2"/>
  <c r="B87" i="2"/>
  <c r="D86" i="2"/>
  <c r="C86" i="2"/>
  <c r="B86" i="2"/>
  <c r="D85" i="2"/>
  <c r="C85" i="2"/>
  <c r="B85" i="2"/>
  <c r="D84" i="2"/>
  <c r="C84" i="2"/>
  <c r="B84" i="2"/>
  <c r="D83" i="2"/>
  <c r="C83" i="2"/>
  <c r="B83" i="2"/>
  <c r="D82" i="2"/>
  <c r="C82" i="2"/>
  <c r="B82" i="2"/>
  <c r="D81" i="2"/>
  <c r="C81" i="2"/>
  <c r="B81" i="2"/>
  <c r="D80" i="2"/>
  <c r="C80" i="2"/>
  <c r="B80" i="2"/>
  <c r="D79" i="2"/>
  <c r="C79" i="2"/>
  <c r="B79" i="2"/>
  <c r="D78" i="2"/>
  <c r="C78" i="2"/>
  <c r="B78" i="2"/>
  <c r="D77" i="2"/>
  <c r="C77" i="2"/>
  <c r="B77" i="2"/>
  <c r="D76" i="2"/>
  <c r="C76" i="2"/>
  <c r="B76" i="2"/>
  <c r="D75" i="2"/>
  <c r="C75" i="2"/>
  <c r="B75" i="2"/>
  <c r="D74" i="2"/>
  <c r="C74" i="2"/>
  <c r="B74" i="2"/>
  <c r="D73" i="2"/>
  <c r="C73" i="2"/>
  <c r="C131" i="2" s="1"/>
  <c r="B73" i="2"/>
  <c r="B131" i="2" s="1"/>
  <c r="D131" i="2" s="1"/>
  <c r="D72" i="2"/>
  <c r="C72" i="2"/>
  <c r="B72" i="2"/>
  <c r="D71" i="2"/>
  <c r="C71" i="2"/>
  <c r="B71" i="2"/>
  <c r="D70" i="2"/>
  <c r="C70" i="2"/>
  <c r="C130" i="2" s="1"/>
  <c r="C132" i="2" s="1"/>
  <c r="B70" i="2"/>
  <c r="D69" i="2"/>
  <c r="C69" i="2"/>
  <c r="B69" i="2"/>
  <c r="D68" i="2"/>
  <c r="C68" i="2"/>
  <c r="B68" i="2"/>
  <c r="B130" i="2" s="1"/>
  <c r="D67" i="2"/>
  <c r="C67" i="2"/>
  <c r="B67" i="2"/>
  <c r="D66" i="2"/>
  <c r="C66" i="2"/>
  <c r="B66" i="2"/>
  <c r="D65" i="2"/>
  <c r="C65" i="2"/>
  <c r="B65" i="2"/>
  <c r="D64" i="2"/>
  <c r="C64" i="2"/>
  <c r="B64" i="2"/>
  <c r="D63" i="2"/>
  <c r="C63" i="2"/>
  <c r="B63" i="2"/>
  <c r="D62" i="2"/>
  <c r="C62" i="2"/>
  <c r="B62" i="2"/>
  <c r="D61" i="2"/>
  <c r="C61" i="2"/>
  <c r="B61" i="2"/>
  <c r="D60" i="2"/>
  <c r="C60" i="2"/>
  <c r="B60" i="2"/>
  <c r="D59" i="2"/>
  <c r="C59" i="2"/>
  <c r="B59" i="2"/>
  <c r="D58" i="2"/>
  <c r="C58" i="2"/>
  <c r="B58" i="2"/>
  <c r="D57" i="2"/>
  <c r="C57" i="2"/>
  <c r="B57" i="2"/>
  <c r="D56" i="2"/>
  <c r="C56" i="2"/>
  <c r="B56" i="2"/>
  <c r="D55" i="2"/>
  <c r="C55" i="2"/>
  <c r="B55" i="2"/>
  <c r="D54" i="2"/>
  <c r="C54" i="2"/>
  <c r="B54" i="2"/>
  <c r="D53" i="2"/>
  <c r="C53" i="2"/>
  <c r="C126" i="2" s="1"/>
  <c r="B53" i="2"/>
  <c r="B126" i="2" s="1"/>
  <c r="D126" i="2" s="1"/>
  <c r="D52" i="2"/>
  <c r="C52" i="2"/>
  <c r="B52" i="2"/>
  <c r="D51" i="2"/>
  <c r="C51" i="2"/>
  <c r="B51" i="2"/>
  <c r="D50" i="2"/>
  <c r="C50" i="2"/>
  <c r="B50" i="2"/>
  <c r="D49" i="2"/>
  <c r="C49" i="2"/>
  <c r="B49" i="2"/>
  <c r="D48" i="2"/>
  <c r="C48" i="2"/>
  <c r="B48" i="2"/>
  <c r="D47" i="2"/>
  <c r="C47" i="2"/>
  <c r="B47" i="2"/>
  <c r="D46" i="2"/>
  <c r="C46" i="2"/>
  <c r="B46" i="2"/>
  <c r="D45" i="2"/>
  <c r="C45" i="2"/>
  <c r="B45" i="2"/>
  <c r="D44" i="2"/>
  <c r="C44" i="2"/>
  <c r="B44" i="2"/>
  <c r="D43" i="2"/>
  <c r="C43" i="2"/>
  <c r="C125" i="2" s="1"/>
  <c r="B43" i="2"/>
  <c r="B125" i="2" s="1"/>
  <c r="D125" i="2" s="1"/>
  <c r="D42" i="2"/>
  <c r="C42" i="2"/>
  <c r="B42" i="2"/>
  <c r="D41" i="2"/>
  <c r="C41" i="2"/>
  <c r="B41" i="2"/>
  <c r="D40" i="2"/>
  <c r="C40" i="2"/>
  <c r="B40" i="2"/>
  <c r="D39" i="2"/>
  <c r="C39" i="2"/>
  <c r="B39" i="2"/>
  <c r="D38" i="2"/>
  <c r="C38" i="2"/>
  <c r="B38" i="2"/>
  <c r="D37" i="2"/>
  <c r="C37" i="2"/>
  <c r="B37" i="2"/>
  <c r="D36" i="2"/>
  <c r="C36" i="2"/>
  <c r="B36" i="2"/>
  <c r="D35" i="2"/>
  <c r="C35" i="2"/>
  <c r="B35" i="2"/>
  <c r="D34" i="2"/>
  <c r="C34" i="2"/>
  <c r="B34" i="2"/>
  <c r="D33" i="2"/>
  <c r="C33" i="2"/>
  <c r="C124" i="2" s="1"/>
  <c r="B33" i="2"/>
  <c r="B124" i="2" s="1"/>
  <c r="D124" i="2" s="1"/>
  <c r="D32" i="2"/>
  <c r="C32" i="2"/>
  <c r="B32" i="2"/>
  <c r="D31" i="2"/>
  <c r="C31" i="2"/>
  <c r="B31" i="2"/>
  <c r="D30" i="2"/>
  <c r="C30" i="2"/>
  <c r="B30" i="2"/>
  <c r="D29" i="2"/>
  <c r="C29" i="2"/>
  <c r="B29" i="2"/>
  <c r="D28" i="2"/>
  <c r="C28" i="2"/>
  <c r="B28" i="2"/>
  <c r="D27" i="2"/>
  <c r="C27" i="2"/>
  <c r="B27" i="2"/>
  <c r="D26" i="2"/>
  <c r="C26" i="2"/>
  <c r="B26" i="2"/>
  <c r="D25" i="2"/>
  <c r="C25" i="2"/>
  <c r="B25" i="2"/>
  <c r="D24" i="2"/>
  <c r="C24" i="2"/>
  <c r="B24" i="2"/>
  <c r="D23" i="2"/>
  <c r="C23" i="2"/>
  <c r="B23" i="2"/>
  <c r="D22" i="2"/>
  <c r="C22" i="2"/>
  <c r="B22" i="2"/>
  <c r="D21" i="2"/>
  <c r="C21" i="2"/>
  <c r="C123" i="2" s="1"/>
  <c r="B21" i="2"/>
  <c r="B123" i="2" s="1"/>
  <c r="D123" i="2" s="1"/>
  <c r="D20" i="2"/>
  <c r="C20" i="2"/>
  <c r="B20" i="2"/>
  <c r="D19" i="2"/>
  <c r="C19" i="2"/>
  <c r="B19" i="2"/>
  <c r="D18" i="2"/>
  <c r="C18" i="2"/>
  <c r="C122" i="2" s="1"/>
  <c r="C127" i="2" s="1"/>
  <c r="B18" i="2"/>
  <c r="B122" i="2" s="1"/>
  <c r="D17" i="2"/>
  <c r="C17" i="2"/>
  <c r="B17" i="2"/>
  <c r="D16" i="2"/>
  <c r="C16" i="2"/>
  <c r="B16" i="2"/>
  <c r="D15" i="2"/>
  <c r="C15" i="2"/>
  <c r="C118" i="2" s="1"/>
  <c r="B15" i="2"/>
  <c r="B118" i="2" s="1"/>
  <c r="D118" i="2" s="1"/>
  <c r="D14" i="2"/>
  <c r="C14" i="2"/>
  <c r="B14" i="2"/>
  <c r="D13" i="2"/>
  <c r="C13" i="2"/>
  <c r="B13" i="2"/>
  <c r="D12" i="2"/>
  <c r="C12" i="2"/>
  <c r="B12" i="2"/>
  <c r="D11" i="2"/>
  <c r="C11" i="2"/>
  <c r="B11" i="2"/>
  <c r="D10" i="2"/>
  <c r="C10" i="2"/>
  <c r="B10" i="2"/>
  <c r="D9" i="2"/>
  <c r="C9" i="2"/>
  <c r="C117" i="2" s="1"/>
  <c r="B9" i="2"/>
  <c r="B117" i="2" s="1"/>
  <c r="D117" i="2" s="1"/>
  <c r="D8" i="2"/>
  <c r="C8" i="2"/>
  <c r="B8" i="2"/>
  <c r="D7" i="2"/>
  <c r="C7" i="2"/>
  <c r="B7" i="2"/>
  <c r="D6" i="2"/>
  <c r="C6" i="2"/>
  <c r="B6" i="2"/>
  <c r="D5" i="2"/>
  <c r="C5" i="2"/>
  <c r="B5" i="2"/>
  <c r="D4" i="2"/>
  <c r="C4" i="2"/>
  <c r="B4" i="2"/>
  <c r="D3" i="2"/>
  <c r="C3" i="2"/>
  <c r="C135" i="2" s="1"/>
  <c r="B3" i="2"/>
  <c r="B116" i="2" s="1"/>
  <c r="D116" i="2" l="1"/>
  <c r="D119" i="2" s="1"/>
  <c r="B119" i="2"/>
  <c r="B132" i="2"/>
  <c r="D130" i="2"/>
  <c r="D132" i="2" s="1"/>
  <c r="B127" i="2"/>
  <c r="D122" i="2"/>
  <c r="D127" i="2" s="1"/>
  <c r="E127" i="2" s="1"/>
  <c r="C116" i="2"/>
  <c r="C119" i="2" s="1"/>
  <c r="B135" i="2"/>
  <c r="D135" i="2" s="1"/>
  <c r="E132" i="2" l="1"/>
  <c r="E119" i="2"/>
  <c r="C113" i="1" l="1"/>
  <c r="B113" i="1"/>
  <c r="C112" i="1"/>
  <c r="B112" i="1"/>
  <c r="D112" i="1" s="1"/>
  <c r="C111" i="1"/>
  <c r="D111" i="1" s="1"/>
  <c r="B111" i="1"/>
  <c r="C110" i="1"/>
  <c r="B110" i="1"/>
  <c r="C109" i="1"/>
  <c r="B109" i="1"/>
  <c r="C108" i="1"/>
  <c r="B108" i="1"/>
  <c r="D108" i="1" s="1"/>
  <c r="D107" i="1"/>
  <c r="C107" i="1"/>
  <c r="B107" i="1"/>
  <c r="D106" i="1"/>
  <c r="C106" i="1"/>
  <c r="B106" i="1"/>
  <c r="D105" i="1"/>
  <c r="C105" i="1"/>
  <c r="B105" i="1"/>
  <c r="D104" i="1"/>
  <c r="C104" i="1"/>
  <c r="B104" i="1"/>
  <c r="D103" i="1"/>
  <c r="C103" i="1"/>
  <c r="B103" i="1"/>
  <c r="D102" i="1"/>
  <c r="C102" i="1"/>
  <c r="B102" i="1"/>
  <c r="D101" i="1"/>
  <c r="C101" i="1"/>
  <c r="B101" i="1"/>
  <c r="D100" i="1"/>
  <c r="C100" i="1"/>
  <c r="B100" i="1"/>
  <c r="D99" i="1"/>
  <c r="C99" i="1"/>
  <c r="B99" i="1"/>
  <c r="D98" i="1"/>
  <c r="C98" i="1"/>
  <c r="B98" i="1"/>
  <c r="D97" i="1"/>
  <c r="C97" i="1"/>
  <c r="B97" i="1"/>
  <c r="D96" i="1"/>
  <c r="C96" i="1"/>
  <c r="B96" i="1"/>
  <c r="D95" i="1"/>
  <c r="C95" i="1"/>
  <c r="B95" i="1"/>
  <c r="D94" i="1"/>
  <c r="C94" i="1"/>
  <c r="B94" i="1"/>
  <c r="D93" i="1"/>
  <c r="C93" i="1"/>
  <c r="B93" i="1"/>
  <c r="D92" i="1"/>
  <c r="C92" i="1"/>
  <c r="B92" i="1"/>
  <c r="D91" i="1"/>
  <c r="C91" i="1"/>
  <c r="B91" i="1"/>
  <c r="D90" i="1"/>
  <c r="C90" i="1"/>
  <c r="B90" i="1"/>
  <c r="D89" i="1"/>
  <c r="C89" i="1"/>
  <c r="B89" i="1"/>
  <c r="D88" i="1"/>
  <c r="C88" i="1"/>
  <c r="B88" i="1"/>
  <c r="D87" i="1"/>
  <c r="C87" i="1"/>
  <c r="B87" i="1"/>
  <c r="D86" i="1"/>
  <c r="C86" i="1"/>
  <c r="B86" i="1"/>
  <c r="D85" i="1"/>
  <c r="C85" i="1"/>
  <c r="B85" i="1"/>
  <c r="D84" i="1"/>
  <c r="C84" i="1"/>
  <c r="B84" i="1"/>
  <c r="D83" i="1"/>
  <c r="C83" i="1"/>
  <c r="B83" i="1"/>
  <c r="D82" i="1"/>
  <c r="C82" i="1"/>
  <c r="B82" i="1"/>
  <c r="D81" i="1"/>
  <c r="C81" i="1"/>
  <c r="B81" i="1"/>
  <c r="D80" i="1"/>
  <c r="C80" i="1"/>
  <c r="B80" i="1"/>
  <c r="D79" i="1"/>
  <c r="C79" i="1"/>
  <c r="B79" i="1"/>
  <c r="D78" i="1"/>
  <c r="C78" i="1"/>
  <c r="B78" i="1"/>
  <c r="D77" i="1"/>
  <c r="C77" i="1"/>
  <c r="B77" i="1"/>
  <c r="D76" i="1"/>
  <c r="C76" i="1"/>
  <c r="B76" i="1"/>
  <c r="D75" i="1"/>
  <c r="C75" i="1"/>
  <c r="B75" i="1"/>
  <c r="D74" i="1"/>
  <c r="C74" i="1"/>
  <c r="B74" i="1"/>
  <c r="D73" i="1"/>
  <c r="C73" i="1"/>
  <c r="B73" i="1"/>
  <c r="B131" i="1" s="1"/>
  <c r="D72" i="1"/>
  <c r="C72" i="1"/>
  <c r="B72" i="1"/>
  <c r="D71" i="1"/>
  <c r="C71" i="1"/>
  <c r="B71" i="1"/>
  <c r="D70" i="1"/>
  <c r="C70" i="1"/>
  <c r="C130" i="1" s="1"/>
  <c r="B70" i="1"/>
  <c r="D69" i="1"/>
  <c r="C69" i="1"/>
  <c r="B69" i="1"/>
  <c r="D68" i="1"/>
  <c r="C68" i="1"/>
  <c r="B68" i="1"/>
  <c r="D67" i="1"/>
  <c r="C67" i="1"/>
  <c r="B67" i="1"/>
  <c r="D66" i="1"/>
  <c r="C66" i="1"/>
  <c r="B66" i="1"/>
  <c r="D65" i="1"/>
  <c r="C65" i="1"/>
  <c r="B65" i="1"/>
  <c r="D64" i="1"/>
  <c r="C64" i="1"/>
  <c r="B64" i="1"/>
  <c r="D63" i="1"/>
  <c r="C63" i="1"/>
  <c r="B63" i="1"/>
  <c r="D62" i="1"/>
  <c r="C62" i="1"/>
  <c r="B62" i="1"/>
  <c r="D61" i="1"/>
  <c r="C61" i="1"/>
  <c r="B61" i="1"/>
  <c r="D60" i="1"/>
  <c r="C60" i="1"/>
  <c r="B60" i="1"/>
  <c r="D59" i="1"/>
  <c r="C59" i="1"/>
  <c r="B59" i="1"/>
  <c r="D58" i="1"/>
  <c r="C58" i="1"/>
  <c r="B58" i="1"/>
  <c r="D57" i="1"/>
  <c r="C57" i="1"/>
  <c r="B57" i="1"/>
  <c r="D56" i="1"/>
  <c r="C56" i="1"/>
  <c r="B56" i="1"/>
  <c r="D55" i="1"/>
  <c r="C55" i="1"/>
  <c r="B55" i="1"/>
  <c r="D54" i="1"/>
  <c r="C54" i="1"/>
  <c r="B54" i="1"/>
  <c r="D53" i="1"/>
  <c r="C53" i="1"/>
  <c r="B53" i="1"/>
  <c r="B126" i="1" s="1"/>
  <c r="D52" i="1"/>
  <c r="C52" i="1"/>
  <c r="B52" i="1"/>
  <c r="D51" i="1"/>
  <c r="C51" i="1"/>
  <c r="B51" i="1"/>
  <c r="D50" i="1"/>
  <c r="C50" i="1"/>
  <c r="B50" i="1"/>
  <c r="D49" i="1"/>
  <c r="C49" i="1"/>
  <c r="B49" i="1"/>
  <c r="D48" i="1"/>
  <c r="C48" i="1"/>
  <c r="B48" i="1"/>
  <c r="D47" i="1"/>
  <c r="C47" i="1"/>
  <c r="B47" i="1"/>
  <c r="D46" i="1"/>
  <c r="C46" i="1"/>
  <c r="B46" i="1"/>
  <c r="D45" i="1"/>
  <c r="C45" i="1"/>
  <c r="B45" i="1"/>
  <c r="D44" i="1"/>
  <c r="C44" i="1"/>
  <c r="B44" i="1"/>
  <c r="D43" i="1"/>
  <c r="C43" i="1"/>
  <c r="B43" i="1"/>
  <c r="D42" i="1"/>
  <c r="C42" i="1"/>
  <c r="B42" i="1"/>
  <c r="D41" i="1"/>
  <c r="C41" i="1"/>
  <c r="B41" i="1"/>
  <c r="D40" i="1"/>
  <c r="C40" i="1"/>
  <c r="B40" i="1"/>
  <c r="D39" i="1"/>
  <c r="C39" i="1"/>
  <c r="B39" i="1"/>
  <c r="D38" i="1"/>
  <c r="C38" i="1"/>
  <c r="B38" i="1"/>
  <c r="D37" i="1"/>
  <c r="C37" i="1"/>
  <c r="B37" i="1"/>
  <c r="D36" i="1"/>
  <c r="C36" i="1"/>
  <c r="B36" i="1"/>
  <c r="D35" i="1"/>
  <c r="C35" i="1"/>
  <c r="B35" i="1"/>
  <c r="D34" i="1"/>
  <c r="C34" i="1"/>
  <c r="B34" i="1"/>
  <c r="D33" i="1"/>
  <c r="C33" i="1"/>
  <c r="B33" i="1"/>
  <c r="B124" i="1" s="1"/>
  <c r="D32" i="1"/>
  <c r="C32" i="1"/>
  <c r="B32" i="1"/>
  <c r="D31" i="1"/>
  <c r="C31" i="1"/>
  <c r="B31" i="1"/>
  <c r="D30" i="1"/>
  <c r="C30" i="1"/>
  <c r="B30" i="1"/>
  <c r="D29" i="1"/>
  <c r="C29" i="1"/>
  <c r="B29" i="1"/>
  <c r="D28" i="1"/>
  <c r="C28" i="1"/>
  <c r="B28" i="1"/>
  <c r="D27" i="1"/>
  <c r="C27" i="1"/>
  <c r="B27" i="1"/>
  <c r="D26" i="1"/>
  <c r="C26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  <c r="B123" i="1" s="1"/>
  <c r="D20" i="1"/>
  <c r="C20" i="1"/>
  <c r="B20" i="1"/>
  <c r="D19" i="1"/>
  <c r="C19" i="1"/>
  <c r="B19" i="1"/>
  <c r="D18" i="1"/>
  <c r="C18" i="1"/>
  <c r="C122" i="1" s="1"/>
  <c r="B18" i="1"/>
  <c r="D17" i="1"/>
  <c r="C17" i="1"/>
  <c r="B17" i="1"/>
  <c r="D16" i="1"/>
  <c r="C16" i="1"/>
  <c r="B16" i="1"/>
  <c r="D15" i="1"/>
  <c r="C15" i="1"/>
  <c r="B15" i="1"/>
  <c r="D14" i="1"/>
  <c r="C14" i="1"/>
  <c r="B14" i="1"/>
  <c r="D13" i="1"/>
  <c r="C13" i="1"/>
  <c r="B13" i="1"/>
  <c r="D12" i="1"/>
  <c r="C12" i="1"/>
  <c r="B12" i="1"/>
  <c r="D11" i="1"/>
  <c r="C11" i="1"/>
  <c r="B11" i="1"/>
  <c r="D10" i="1"/>
  <c r="C10" i="1"/>
  <c r="B10" i="1"/>
  <c r="D9" i="1"/>
  <c r="C9" i="1"/>
  <c r="B9" i="1"/>
  <c r="B117" i="1" s="1"/>
  <c r="D8" i="1"/>
  <c r="C8" i="1"/>
  <c r="B8" i="1"/>
  <c r="D7" i="1"/>
  <c r="C7" i="1"/>
  <c r="B7" i="1"/>
  <c r="D6" i="1"/>
  <c r="C6" i="1"/>
  <c r="B6" i="1"/>
  <c r="D5" i="1"/>
  <c r="C5" i="1"/>
  <c r="B5" i="1"/>
  <c r="D4" i="1"/>
  <c r="C4" i="1"/>
  <c r="B4" i="1"/>
  <c r="D3" i="1"/>
  <c r="C3" i="1"/>
  <c r="B3" i="1"/>
  <c r="C123" i="1" l="1"/>
  <c r="C124" i="1"/>
  <c r="C126" i="1"/>
  <c r="B130" i="1"/>
  <c r="B132" i="1" s="1"/>
  <c r="C131" i="1"/>
  <c r="C117" i="1"/>
  <c r="B116" i="1"/>
  <c r="B119" i="1" s="1"/>
  <c r="B118" i="1"/>
  <c r="B125" i="1"/>
  <c r="D110" i="1"/>
  <c r="D117" i="1"/>
  <c r="C127" i="1"/>
  <c r="D123" i="1"/>
  <c r="D124" i="1"/>
  <c r="C135" i="1"/>
  <c r="C118" i="1"/>
  <c r="B122" i="1"/>
  <c r="C125" i="1"/>
  <c r="D109" i="1"/>
  <c r="D126" i="1"/>
  <c r="C132" i="1"/>
  <c r="D131" i="1"/>
  <c r="D113" i="1"/>
  <c r="D116" i="1"/>
  <c r="B127" i="1"/>
  <c r="D122" i="1"/>
  <c r="C116" i="1"/>
  <c r="B135" i="1"/>
  <c r="D135" i="1" s="1"/>
  <c r="D118" i="1" l="1"/>
  <c r="D119" i="1"/>
  <c r="D130" i="1"/>
  <c r="D132" i="1" s="1"/>
  <c r="C119" i="1"/>
  <c r="D125" i="1"/>
  <c r="D127" i="1" s="1"/>
  <c r="E127" i="1" s="1"/>
  <c r="E132" i="1"/>
  <c r="E119" i="1"/>
</calcChain>
</file>

<file path=xl/sharedStrings.xml><?xml version="1.0" encoding="utf-8"?>
<sst xmlns="http://schemas.openxmlformats.org/spreadsheetml/2006/main" count="1746" uniqueCount="197">
  <si>
    <t xml:space="preserve">年齢 </t>
  </si>
  <si>
    <t xml:space="preserve">男 </t>
  </si>
  <si>
    <t xml:space="preserve">女 </t>
  </si>
  <si>
    <t xml:space="preserve">総数 </t>
  </si>
  <si>
    <t xml:space="preserve">0歳 </t>
    <phoneticPr fontId="18"/>
  </si>
  <si>
    <t xml:space="preserve">1歳 </t>
  </si>
  <si>
    <t xml:space="preserve">2歳 </t>
  </si>
  <si>
    <t xml:space="preserve">3歳 </t>
  </si>
  <si>
    <t xml:space="preserve">4歳 </t>
  </si>
  <si>
    <t xml:space="preserve">5歳 </t>
  </si>
  <si>
    <t xml:space="preserve">6歳 </t>
  </si>
  <si>
    <t xml:space="preserve">7歳 </t>
  </si>
  <si>
    <t xml:space="preserve">8歳 </t>
  </si>
  <si>
    <t xml:space="preserve">9歳 </t>
  </si>
  <si>
    <t xml:space="preserve">10歳 </t>
  </si>
  <si>
    <t xml:space="preserve">11歳 </t>
  </si>
  <si>
    <t xml:space="preserve">12歳 </t>
  </si>
  <si>
    <t xml:space="preserve">13歳 </t>
  </si>
  <si>
    <t xml:space="preserve">14歳 </t>
  </si>
  <si>
    <t xml:space="preserve">15歳 </t>
  </si>
  <si>
    <t xml:space="preserve">16歳 </t>
  </si>
  <si>
    <t xml:space="preserve">17歳 </t>
  </si>
  <si>
    <t xml:space="preserve">18歳 </t>
  </si>
  <si>
    <t xml:space="preserve">19歳 </t>
  </si>
  <si>
    <t xml:space="preserve">20歳 </t>
  </si>
  <si>
    <t xml:space="preserve">21歳 </t>
  </si>
  <si>
    <t xml:space="preserve">22歳 </t>
  </si>
  <si>
    <t xml:space="preserve">23歳 </t>
  </si>
  <si>
    <t xml:space="preserve">24歳 </t>
  </si>
  <si>
    <t xml:space="preserve">25歳 </t>
  </si>
  <si>
    <t xml:space="preserve">26歳 </t>
  </si>
  <si>
    <t xml:space="preserve">27歳 </t>
  </si>
  <si>
    <t xml:space="preserve">28歳 </t>
  </si>
  <si>
    <t xml:space="preserve">29歳 </t>
  </si>
  <si>
    <t xml:space="preserve">30歳 </t>
  </si>
  <si>
    <t xml:space="preserve">31歳 </t>
  </si>
  <si>
    <t xml:space="preserve">32歳 </t>
  </si>
  <si>
    <t xml:space="preserve">33歳 </t>
  </si>
  <si>
    <t xml:space="preserve">34歳 </t>
  </si>
  <si>
    <t xml:space="preserve">35歳 </t>
  </si>
  <si>
    <t xml:space="preserve">36歳 </t>
  </si>
  <si>
    <t xml:space="preserve">37歳 </t>
  </si>
  <si>
    <t xml:space="preserve">38歳 </t>
  </si>
  <si>
    <t xml:space="preserve">39歳 </t>
  </si>
  <si>
    <t xml:space="preserve">40歳 </t>
  </si>
  <si>
    <t xml:space="preserve">41歳 </t>
  </si>
  <si>
    <t xml:space="preserve">42歳 </t>
  </si>
  <si>
    <t xml:space="preserve">43歳 </t>
  </si>
  <si>
    <t xml:space="preserve">44歳 </t>
  </si>
  <si>
    <t xml:space="preserve">45歳 </t>
  </si>
  <si>
    <t xml:space="preserve">46歳 </t>
  </si>
  <si>
    <t xml:space="preserve">47歳 </t>
  </si>
  <si>
    <t xml:space="preserve">48歳 </t>
  </si>
  <si>
    <t xml:space="preserve">49歳 </t>
  </si>
  <si>
    <t xml:space="preserve">50歳 </t>
  </si>
  <si>
    <t xml:space="preserve">51歳 </t>
  </si>
  <si>
    <t xml:space="preserve">52歳 </t>
  </si>
  <si>
    <t xml:space="preserve">53歳 </t>
  </si>
  <si>
    <t xml:space="preserve">54歳 </t>
  </si>
  <si>
    <t xml:space="preserve">55歳 </t>
  </si>
  <si>
    <t xml:space="preserve">56歳 </t>
  </si>
  <si>
    <t xml:space="preserve">57歳 </t>
  </si>
  <si>
    <t xml:space="preserve">58歳 </t>
  </si>
  <si>
    <t xml:space="preserve">59歳 </t>
  </si>
  <si>
    <t xml:space="preserve">60歳 </t>
  </si>
  <si>
    <t xml:space="preserve">61歳 </t>
  </si>
  <si>
    <t xml:space="preserve">62歳 </t>
  </si>
  <si>
    <t xml:space="preserve">63歳 </t>
  </si>
  <si>
    <t xml:space="preserve">64歳 </t>
  </si>
  <si>
    <t xml:space="preserve">65歳 </t>
  </si>
  <si>
    <t xml:space="preserve">66歳 </t>
  </si>
  <si>
    <t xml:space="preserve">67歳 </t>
  </si>
  <si>
    <t xml:space="preserve">68歳 </t>
  </si>
  <si>
    <t xml:space="preserve">69歳 </t>
  </si>
  <si>
    <t xml:space="preserve">70歳 </t>
  </si>
  <si>
    <t xml:space="preserve">71歳 </t>
  </si>
  <si>
    <t xml:space="preserve">72歳 </t>
  </si>
  <si>
    <t xml:space="preserve">73歳 </t>
  </si>
  <si>
    <t xml:space="preserve">74歳 </t>
  </si>
  <si>
    <t xml:space="preserve">75歳 </t>
  </si>
  <si>
    <t xml:space="preserve">76歳 </t>
  </si>
  <si>
    <t xml:space="preserve">77歳 </t>
  </si>
  <si>
    <t xml:space="preserve">78歳 </t>
  </si>
  <si>
    <t xml:space="preserve">79歳 </t>
  </si>
  <si>
    <t xml:space="preserve">80歳 </t>
  </si>
  <si>
    <t xml:space="preserve">81歳 </t>
  </si>
  <si>
    <t xml:space="preserve">82歳 </t>
  </si>
  <si>
    <t xml:space="preserve">83歳 </t>
  </si>
  <si>
    <t xml:space="preserve">84歳 </t>
  </si>
  <si>
    <t xml:space="preserve">85歳 </t>
  </si>
  <si>
    <t xml:space="preserve">86歳 </t>
  </si>
  <si>
    <t xml:space="preserve">87歳 </t>
  </si>
  <si>
    <t xml:space="preserve">88歳 </t>
  </si>
  <si>
    <t xml:space="preserve">89歳 </t>
  </si>
  <si>
    <t xml:space="preserve">90歳 </t>
  </si>
  <si>
    <t xml:space="preserve">91歳 </t>
  </si>
  <si>
    <t xml:space="preserve">92歳 </t>
  </si>
  <si>
    <t xml:space="preserve">93歳 </t>
  </si>
  <si>
    <t xml:space="preserve">94歳 </t>
  </si>
  <si>
    <t xml:space="preserve">95歳 </t>
  </si>
  <si>
    <t xml:space="preserve">96歳 </t>
  </si>
  <si>
    <t xml:space="preserve">97歳 </t>
  </si>
  <si>
    <t xml:space="preserve">98歳 </t>
  </si>
  <si>
    <t xml:space="preserve">99歳 </t>
  </si>
  <si>
    <t xml:space="preserve">100歳 </t>
  </si>
  <si>
    <t xml:space="preserve">101歳 </t>
  </si>
  <si>
    <t xml:space="preserve">102歳 </t>
  </si>
  <si>
    <t xml:space="preserve">103歳 </t>
  </si>
  <si>
    <t>104歳</t>
  </si>
  <si>
    <t>105歳</t>
    <phoneticPr fontId="19"/>
  </si>
  <si>
    <t>106歳</t>
    <phoneticPr fontId="19"/>
  </si>
  <si>
    <t>107歳</t>
    <phoneticPr fontId="19"/>
  </si>
  <si>
    <t>108歳</t>
    <phoneticPr fontId="19"/>
  </si>
  <si>
    <t>109歳</t>
    <phoneticPr fontId="19"/>
  </si>
  <si>
    <t>110歳</t>
    <phoneticPr fontId="19"/>
  </si>
  <si>
    <t xml:space="preserve">0～5歳 </t>
  </si>
  <si>
    <t xml:space="preserve">6～11歳 </t>
  </si>
  <si>
    <t xml:space="preserve">12～14歳 </t>
  </si>
  <si>
    <t xml:space="preserve">年少人口 </t>
    <phoneticPr fontId="19"/>
  </si>
  <si>
    <t xml:space="preserve">15～17歳 </t>
  </si>
  <si>
    <t xml:space="preserve">18～29歳 </t>
  </si>
  <si>
    <t xml:space="preserve">30～39歳 </t>
  </si>
  <si>
    <t xml:space="preserve">40～49歳 </t>
  </si>
  <si>
    <t xml:space="preserve">50～64歳 </t>
  </si>
  <si>
    <t xml:space="preserve">生産年齢人口 </t>
    <phoneticPr fontId="19"/>
  </si>
  <si>
    <t xml:space="preserve">65～69歳 </t>
  </si>
  <si>
    <t xml:space="preserve">70歳～ </t>
  </si>
  <si>
    <t xml:space="preserve">老年人口 </t>
    <phoneticPr fontId="19"/>
  </si>
  <si>
    <t xml:space="preserve">合計 </t>
  </si>
  <si>
    <t>注：外国人を含めた集計です。</t>
    <rPh sb="0" eb="1">
      <t>チュウ</t>
    </rPh>
    <rPh sb="2" eb="4">
      <t>ガイコク</t>
    </rPh>
    <rPh sb="4" eb="5">
      <t>ジン</t>
    </rPh>
    <rPh sb="6" eb="7">
      <t>フク</t>
    </rPh>
    <rPh sb="9" eb="11">
      <t>シュウケイ</t>
    </rPh>
    <phoneticPr fontId="19"/>
  </si>
  <si>
    <t xml:space="preserve">摂津市年齢別人口（平成31年1月末日現在） </t>
    <phoneticPr fontId="19"/>
  </si>
  <si>
    <t>109歳</t>
    <phoneticPr fontId="19"/>
  </si>
  <si>
    <t xml:space="preserve">生産年齢人口 </t>
    <phoneticPr fontId="19"/>
  </si>
  <si>
    <t xml:space="preserve">老年人口 </t>
    <phoneticPr fontId="19"/>
  </si>
  <si>
    <t xml:space="preserve">摂津市年齢別人口（平成31年2月末日現在） </t>
    <phoneticPr fontId="16"/>
  </si>
  <si>
    <t xml:space="preserve">老年人口 </t>
    <phoneticPr fontId="19"/>
  </si>
  <si>
    <t xml:space="preserve">0歳 </t>
    <phoneticPr fontId="18"/>
  </si>
  <si>
    <t>105歳</t>
    <phoneticPr fontId="19"/>
  </si>
  <si>
    <t>106歳</t>
    <phoneticPr fontId="19"/>
  </si>
  <si>
    <t>107歳</t>
    <phoneticPr fontId="19"/>
  </si>
  <si>
    <t>108歳</t>
    <phoneticPr fontId="19"/>
  </si>
  <si>
    <t>109歳</t>
    <phoneticPr fontId="19"/>
  </si>
  <si>
    <t>110歳</t>
    <phoneticPr fontId="19"/>
  </si>
  <si>
    <t xml:space="preserve">年少人口 </t>
    <phoneticPr fontId="19"/>
  </si>
  <si>
    <t xml:space="preserve">生産年齢人口 </t>
    <phoneticPr fontId="19"/>
  </si>
  <si>
    <t xml:space="preserve">年少人口 </t>
    <phoneticPr fontId="19"/>
  </si>
  <si>
    <t xml:space="preserve">生産年齢人口 </t>
    <phoneticPr fontId="19"/>
  </si>
  <si>
    <t>105歳</t>
    <phoneticPr fontId="19"/>
  </si>
  <si>
    <t>106歳</t>
    <phoneticPr fontId="19"/>
  </si>
  <si>
    <t>107歳</t>
    <phoneticPr fontId="19"/>
  </si>
  <si>
    <t>108歳</t>
    <phoneticPr fontId="19"/>
  </si>
  <si>
    <t>109歳</t>
    <phoneticPr fontId="19"/>
  </si>
  <si>
    <t>110歳</t>
    <phoneticPr fontId="19"/>
  </si>
  <si>
    <t xml:space="preserve">年少人口 </t>
    <phoneticPr fontId="19"/>
  </si>
  <si>
    <t xml:space="preserve">生産年齢人口 </t>
    <phoneticPr fontId="19"/>
  </si>
  <si>
    <t xml:space="preserve">老年人口 </t>
    <phoneticPr fontId="19"/>
  </si>
  <si>
    <t>摂津市年齢別人口（平成31年３月末日現在）</t>
    <phoneticPr fontId="16"/>
  </si>
  <si>
    <t>摂津市年齢別人口（平成31年４月末日現在）</t>
    <phoneticPr fontId="16"/>
  </si>
  <si>
    <t>摂津市年齢別人口（令和元年５月末日現在）</t>
    <rPh sb="9" eb="11">
      <t>レイワ</t>
    </rPh>
    <rPh sb="11" eb="12">
      <t>モト</t>
    </rPh>
    <phoneticPr fontId="16"/>
  </si>
  <si>
    <t xml:space="preserve">0歳 </t>
    <phoneticPr fontId="18"/>
  </si>
  <si>
    <t>105歳</t>
    <phoneticPr fontId="19"/>
  </si>
  <si>
    <t>108歳</t>
    <phoneticPr fontId="19"/>
  </si>
  <si>
    <t>109歳</t>
    <phoneticPr fontId="19"/>
  </si>
  <si>
    <t>106歳</t>
    <phoneticPr fontId="19"/>
  </si>
  <si>
    <t>摂津市年齢別人口（令和元年６月末日現在）</t>
    <phoneticPr fontId="16"/>
  </si>
  <si>
    <t xml:space="preserve">0歳 </t>
    <phoneticPr fontId="18"/>
  </si>
  <si>
    <t>105歳</t>
    <phoneticPr fontId="19"/>
  </si>
  <si>
    <t>107歳</t>
    <phoneticPr fontId="19"/>
  </si>
  <si>
    <t>108歳</t>
    <phoneticPr fontId="19"/>
  </si>
  <si>
    <t>109歳</t>
    <phoneticPr fontId="19"/>
  </si>
  <si>
    <t>110歳</t>
    <phoneticPr fontId="19"/>
  </si>
  <si>
    <t xml:space="preserve">年少人口 </t>
    <phoneticPr fontId="19"/>
  </si>
  <si>
    <t xml:space="preserve">0歳 </t>
    <phoneticPr fontId="18"/>
  </si>
  <si>
    <t>105歳</t>
    <phoneticPr fontId="19"/>
  </si>
  <si>
    <t>106歳</t>
    <phoneticPr fontId="19"/>
  </si>
  <si>
    <t>107歳</t>
    <phoneticPr fontId="19"/>
  </si>
  <si>
    <t>108歳</t>
    <phoneticPr fontId="19"/>
  </si>
  <si>
    <t>109歳</t>
    <phoneticPr fontId="19"/>
  </si>
  <si>
    <t>110歳</t>
    <phoneticPr fontId="19"/>
  </si>
  <si>
    <t xml:space="preserve">年少人口 </t>
    <phoneticPr fontId="19"/>
  </si>
  <si>
    <t xml:space="preserve">生産年齢人口 </t>
    <phoneticPr fontId="19"/>
  </si>
  <si>
    <t xml:space="preserve">老年人口 </t>
    <phoneticPr fontId="19"/>
  </si>
  <si>
    <t xml:space="preserve">生産年齢人口 </t>
    <phoneticPr fontId="19"/>
  </si>
  <si>
    <t xml:space="preserve">0歳 </t>
    <phoneticPr fontId="18"/>
  </si>
  <si>
    <t>105歳</t>
    <phoneticPr fontId="19"/>
  </si>
  <si>
    <t>106歳</t>
    <phoneticPr fontId="19"/>
  </si>
  <si>
    <t>107歳</t>
    <phoneticPr fontId="19"/>
  </si>
  <si>
    <t>108歳</t>
    <phoneticPr fontId="19"/>
  </si>
  <si>
    <t>109歳</t>
    <phoneticPr fontId="19"/>
  </si>
  <si>
    <t>110歳</t>
    <phoneticPr fontId="19"/>
  </si>
  <si>
    <t xml:space="preserve">年少人口 </t>
    <phoneticPr fontId="19"/>
  </si>
  <si>
    <t xml:space="preserve">生産年齢人口 </t>
    <phoneticPr fontId="19"/>
  </si>
  <si>
    <t xml:space="preserve">老年人口 </t>
    <phoneticPr fontId="19"/>
  </si>
  <si>
    <t>105歳</t>
    <phoneticPr fontId="19"/>
  </si>
  <si>
    <t>109歳</t>
    <phoneticPr fontId="19"/>
  </si>
  <si>
    <t xml:space="preserve">年少人口 </t>
    <phoneticPr fontId="19"/>
  </si>
  <si>
    <t xml:space="preserve">生産年齢人口 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</si>
</sst>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&quot;摂&quot;&quot;津&quot;&quot;市&quot;&quot;年&quot;&quot;齢&quot;&quot;別&quot;&quot;人&quot;&quot;口&quot;\([$-411]ggge&quot;年&quot;m&quot;月末現在）&quot;"/>
    <numFmt numFmtId="177" formatCode="&quot;摂津市年齢別人口&quot;\([$-411]ggge&quot;年&quot;m&quot;月末現在）&quot;"/>
  </numFmts>
  <fonts count="23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6">
    <xf numFmtId="0" fontId="0" fillId="0" borderId="0"/>
    <xf numFmtId="0" fontId="15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77">
    <xf numFmtId="0" fontId="0" fillId="0" borderId="0" xfId="0"/>
    <xf numFmtId="0" fontId="0" fillId="0" borderId="0" xfId="0" applyAlignment="1">
      <alignment vertical="center"/>
    </xf>
    <xf numFmtId="0" fontId="17" fillId="2" borderId="1" xfId="0" applyFont="1" applyFill="1" applyBorder="1" applyAlignment="1">
      <alignment horizontal="center" vertical="top" wrapText="1"/>
    </xf>
    <xf numFmtId="0" fontId="17" fillId="0" borderId="0" xfId="0" applyFont="1" applyAlignment="1">
      <alignment vertical="center"/>
    </xf>
    <xf numFmtId="0" fontId="17" fillId="2" borderId="1" xfId="0" applyFont="1" applyFill="1" applyBorder="1" applyAlignment="1">
      <alignment horizontal="center" vertical="center" wrapText="1"/>
    </xf>
    <xf numFmtId="3" fontId="17" fillId="2" borderId="1" xfId="0" applyNumberFormat="1" applyFont="1" applyFill="1" applyBorder="1" applyAlignment="1">
      <alignment horizontal="right" vertical="center" wrapText="1"/>
    </xf>
    <xf numFmtId="3" fontId="17" fillId="0" borderId="0" xfId="0" applyNumberFormat="1" applyFont="1" applyAlignment="1">
      <alignment vertical="center"/>
    </xf>
    <xf numFmtId="0" fontId="17" fillId="2" borderId="2" xfId="0" applyFont="1" applyFill="1" applyBorder="1" applyAlignment="1">
      <alignment horizontal="center" vertical="top" wrapText="1"/>
    </xf>
    <xf numFmtId="0" fontId="17" fillId="2" borderId="3" xfId="0" applyFont="1" applyFill="1" applyBorder="1" applyAlignment="1">
      <alignment horizontal="center" vertical="top" wrapText="1"/>
    </xf>
    <xf numFmtId="3" fontId="17" fillId="2" borderId="2" xfId="0" applyNumberFormat="1" applyFont="1" applyFill="1" applyBorder="1" applyAlignment="1">
      <alignment horizontal="right" vertical="center" wrapText="1"/>
    </xf>
    <xf numFmtId="3" fontId="17" fillId="2" borderId="3" xfId="0" applyNumberFormat="1" applyFont="1" applyFill="1" applyBorder="1" applyAlignment="1">
      <alignment horizontal="right" vertical="center" wrapText="1"/>
    </xf>
    <xf numFmtId="10" fontId="17" fillId="2" borderId="1" xfId="0" applyNumberFormat="1" applyFont="1" applyFill="1" applyBorder="1" applyAlignment="1">
      <alignment horizontal="right" vertical="center" wrapText="1"/>
    </xf>
    <xf numFmtId="0" fontId="17" fillId="2" borderId="4" xfId="0" applyFont="1" applyFill="1" applyBorder="1" applyAlignment="1">
      <alignment horizontal="center" vertical="top" wrapText="1"/>
    </xf>
    <xf numFmtId="58" fontId="20" fillId="0" borderId="0" xfId="0" applyNumberFormat="1" applyFont="1" applyBorder="1" applyAlignment="1">
      <alignment horizontal="left" vertical="center"/>
    </xf>
    <xf numFmtId="176" fontId="21" fillId="0" borderId="0" xfId="0" applyNumberFormat="1" applyFont="1" applyAlignment="1">
      <alignment vertical="center"/>
    </xf>
    <xf numFmtId="0" fontId="15" fillId="0" borderId="0" xfId="1">
      <alignment vertical="center"/>
    </xf>
    <xf numFmtId="176" fontId="22" fillId="0" borderId="0" xfId="1" applyNumberFormat="1" applyFont="1">
      <alignment vertical="center"/>
    </xf>
    <xf numFmtId="0" fontId="17" fillId="2" borderId="1" xfId="1" applyFont="1" applyFill="1" applyBorder="1" applyAlignment="1">
      <alignment horizontal="center" vertical="top" wrapText="1"/>
    </xf>
    <xf numFmtId="0" fontId="17" fillId="0" borderId="0" xfId="1" applyFont="1">
      <alignment vertical="center"/>
    </xf>
    <xf numFmtId="0" fontId="17" fillId="2" borderId="1" xfId="1" applyFont="1" applyFill="1" applyBorder="1" applyAlignment="1">
      <alignment horizontal="center" vertical="center" wrapText="1"/>
    </xf>
    <xf numFmtId="3" fontId="17" fillId="2" borderId="1" xfId="1" applyNumberFormat="1" applyFont="1" applyFill="1" applyBorder="1" applyAlignment="1">
      <alignment horizontal="right" vertical="center" wrapText="1"/>
    </xf>
    <xf numFmtId="3" fontId="17" fillId="0" borderId="0" xfId="1" applyNumberFormat="1" applyFont="1">
      <alignment vertical="center"/>
    </xf>
    <xf numFmtId="0" fontId="17" fillId="2" borderId="2" xfId="1" applyFont="1" applyFill="1" applyBorder="1" applyAlignment="1">
      <alignment horizontal="center" vertical="top" wrapText="1"/>
    </xf>
    <xf numFmtId="0" fontId="17" fillId="2" borderId="3" xfId="1" applyFont="1" applyFill="1" applyBorder="1" applyAlignment="1">
      <alignment horizontal="center" vertical="top" wrapText="1"/>
    </xf>
    <xf numFmtId="3" fontId="17" fillId="2" borderId="2" xfId="1" applyNumberFormat="1" applyFont="1" applyFill="1" applyBorder="1" applyAlignment="1">
      <alignment horizontal="right" vertical="center" wrapText="1"/>
    </xf>
    <xf numFmtId="3" fontId="17" fillId="2" borderId="3" xfId="1" applyNumberFormat="1" applyFont="1" applyFill="1" applyBorder="1" applyAlignment="1">
      <alignment horizontal="right" vertical="center" wrapText="1"/>
    </xf>
    <xf numFmtId="10" fontId="17" fillId="2" borderId="1" xfId="1" applyNumberFormat="1" applyFont="1" applyFill="1" applyBorder="1" applyAlignment="1">
      <alignment horizontal="right" vertical="center" wrapText="1"/>
    </xf>
    <xf numFmtId="0" fontId="17" fillId="2" borderId="4" xfId="1" applyFont="1" applyFill="1" applyBorder="1" applyAlignment="1">
      <alignment horizontal="center" vertical="top" wrapText="1"/>
    </xf>
    <xf numFmtId="0" fontId="11" fillId="0" borderId="0" xfId="5">
      <alignment vertical="center"/>
    </xf>
    <xf numFmtId="176" fontId="22" fillId="0" borderId="0" xfId="5" applyNumberFormat="1" applyFont="1">
      <alignment vertical="center"/>
    </xf>
    <xf numFmtId="0" fontId="17" fillId="2" borderId="1" xfId="5" applyFont="1" applyFill="1" applyBorder="1" applyAlignment="1">
      <alignment horizontal="center" vertical="top" wrapText="1"/>
    </xf>
    <xf numFmtId="0" fontId="17" fillId="0" borderId="0" xfId="5" applyFont="1">
      <alignment vertical="center"/>
    </xf>
    <xf numFmtId="0" fontId="17" fillId="2" borderId="1" xfId="5" applyFont="1" applyFill="1" applyBorder="1" applyAlignment="1">
      <alignment horizontal="center" vertical="center" wrapText="1"/>
    </xf>
    <xf numFmtId="3" fontId="17" fillId="2" borderId="1" xfId="5" applyNumberFormat="1" applyFont="1" applyFill="1" applyBorder="1" applyAlignment="1">
      <alignment horizontal="right" vertical="center" wrapText="1"/>
    </xf>
    <xf numFmtId="3" fontId="17" fillId="0" borderId="0" xfId="5" applyNumberFormat="1" applyFont="1">
      <alignment vertical="center"/>
    </xf>
    <xf numFmtId="0" fontId="17" fillId="2" borderId="2" xfId="5" applyFont="1" applyFill="1" applyBorder="1" applyAlignment="1">
      <alignment horizontal="center" vertical="top" wrapText="1"/>
    </xf>
    <xf numFmtId="0" fontId="17" fillId="2" borderId="3" xfId="5" applyFont="1" applyFill="1" applyBorder="1" applyAlignment="1">
      <alignment horizontal="center" vertical="top" wrapText="1"/>
    </xf>
    <xf numFmtId="3" fontId="17" fillId="2" borderId="2" xfId="5" applyNumberFormat="1" applyFont="1" applyFill="1" applyBorder="1" applyAlignment="1">
      <alignment horizontal="right" vertical="center" wrapText="1"/>
    </xf>
    <xf numFmtId="3" fontId="17" fillId="2" borderId="3" xfId="5" applyNumberFormat="1" applyFont="1" applyFill="1" applyBorder="1" applyAlignment="1">
      <alignment horizontal="right" vertical="center" wrapText="1"/>
    </xf>
    <xf numFmtId="10" fontId="17" fillId="2" borderId="1" xfId="5" applyNumberFormat="1" applyFont="1" applyFill="1" applyBorder="1" applyAlignment="1">
      <alignment horizontal="right" vertical="center" wrapText="1"/>
    </xf>
    <xf numFmtId="0" fontId="17" fillId="2" borderId="4" xfId="5" applyFont="1" applyFill="1" applyBorder="1" applyAlignment="1">
      <alignment horizontal="center" vertical="top" wrapText="1"/>
    </xf>
    <xf numFmtId="0" fontId="10" fillId="0" borderId="0" xfId="6">
      <alignment vertical="center"/>
    </xf>
    <xf numFmtId="176" fontId="22" fillId="0" borderId="0" xfId="6" applyNumberFormat="1" applyFont="1">
      <alignment vertical="center"/>
    </xf>
    <xf numFmtId="0" fontId="17" fillId="2" borderId="1" xfId="6" applyFont="1" applyFill="1" applyBorder="1" applyAlignment="1">
      <alignment horizontal="center" vertical="top" wrapText="1"/>
    </xf>
    <xf numFmtId="0" fontId="17" fillId="0" borderId="0" xfId="6" applyFont="1">
      <alignment vertical="center"/>
    </xf>
    <xf numFmtId="0" fontId="17" fillId="2" borderId="1" xfId="6" applyFont="1" applyFill="1" applyBorder="1" applyAlignment="1">
      <alignment horizontal="center" vertical="center" wrapText="1"/>
    </xf>
    <xf numFmtId="3" fontId="17" fillId="2" borderId="1" xfId="6" applyNumberFormat="1" applyFont="1" applyFill="1" applyBorder="1" applyAlignment="1">
      <alignment horizontal="right" vertical="center" wrapText="1"/>
    </xf>
    <xf numFmtId="3" fontId="17" fillId="0" borderId="0" xfId="6" applyNumberFormat="1" applyFont="1">
      <alignment vertical="center"/>
    </xf>
    <xf numFmtId="0" fontId="17" fillId="2" borderId="2" xfId="6" applyFont="1" applyFill="1" applyBorder="1" applyAlignment="1">
      <alignment horizontal="center" vertical="top" wrapText="1"/>
    </xf>
    <xf numFmtId="0" fontId="17" fillId="2" borderId="3" xfId="6" applyFont="1" applyFill="1" applyBorder="1" applyAlignment="1">
      <alignment horizontal="center" vertical="top" wrapText="1"/>
    </xf>
    <xf numFmtId="3" fontId="17" fillId="2" borderId="2" xfId="6" applyNumberFormat="1" applyFont="1" applyFill="1" applyBorder="1" applyAlignment="1">
      <alignment horizontal="right" vertical="center" wrapText="1"/>
    </xf>
    <xf numFmtId="3" fontId="17" fillId="2" borderId="3" xfId="6" applyNumberFormat="1" applyFont="1" applyFill="1" applyBorder="1" applyAlignment="1">
      <alignment horizontal="right" vertical="center" wrapText="1"/>
    </xf>
    <xf numFmtId="10" fontId="17" fillId="2" borderId="1" xfId="6" applyNumberFormat="1" applyFont="1" applyFill="1" applyBorder="1" applyAlignment="1">
      <alignment horizontal="right" vertical="center" wrapText="1"/>
    </xf>
    <xf numFmtId="0" fontId="17" fillId="2" borderId="4" xfId="6" applyFont="1" applyFill="1" applyBorder="1" applyAlignment="1">
      <alignment horizontal="center" vertical="top" wrapText="1"/>
    </xf>
    <xf numFmtId="0" fontId="9" fillId="0" borderId="0" xfId="7">
      <alignment vertical="center"/>
    </xf>
    <xf numFmtId="176" fontId="22" fillId="0" borderId="0" xfId="7" applyNumberFormat="1" applyFont="1">
      <alignment vertical="center"/>
    </xf>
    <xf numFmtId="0" fontId="17" fillId="2" borderId="1" xfId="7" applyFont="1" applyFill="1" applyBorder="1" applyAlignment="1">
      <alignment horizontal="center" vertical="top" wrapText="1"/>
    </xf>
    <xf numFmtId="0" fontId="17" fillId="0" borderId="0" xfId="7" applyFont="1">
      <alignment vertical="center"/>
    </xf>
    <xf numFmtId="0" fontId="17" fillId="2" borderId="1" xfId="7" applyFont="1" applyFill="1" applyBorder="1" applyAlignment="1">
      <alignment horizontal="center" vertical="center" wrapText="1"/>
    </xf>
    <xf numFmtId="3" fontId="17" fillId="2" borderId="1" xfId="7" applyNumberFormat="1" applyFont="1" applyFill="1" applyBorder="1" applyAlignment="1">
      <alignment horizontal="right" vertical="center" wrapText="1"/>
    </xf>
    <xf numFmtId="3" fontId="17" fillId="0" borderId="0" xfId="7" applyNumberFormat="1" applyFont="1">
      <alignment vertical="center"/>
    </xf>
    <xf numFmtId="0" fontId="17" fillId="2" borderId="2" xfId="7" applyFont="1" applyFill="1" applyBorder="1" applyAlignment="1">
      <alignment horizontal="center" vertical="top" wrapText="1"/>
    </xf>
    <xf numFmtId="0" fontId="17" fillId="2" borderId="3" xfId="7" applyFont="1" applyFill="1" applyBorder="1" applyAlignment="1">
      <alignment horizontal="center" vertical="top" wrapText="1"/>
    </xf>
    <xf numFmtId="3" fontId="17" fillId="2" borderId="2" xfId="7" applyNumberFormat="1" applyFont="1" applyFill="1" applyBorder="1" applyAlignment="1">
      <alignment horizontal="right" vertical="center" wrapText="1"/>
    </xf>
    <xf numFmtId="3" fontId="17" fillId="2" borderId="3" xfId="7" applyNumberFormat="1" applyFont="1" applyFill="1" applyBorder="1" applyAlignment="1">
      <alignment horizontal="right" vertical="center" wrapText="1"/>
    </xf>
    <xf numFmtId="10" fontId="17" fillId="2" borderId="1" xfId="7" applyNumberFormat="1" applyFont="1" applyFill="1" applyBorder="1" applyAlignment="1">
      <alignment horizontal="right" vertical="center" wrapText="1"/>
    </xf>
    <xf numFmtId="0" fontId="17" fillId="2" borderId="4" xfId="7" applyFont="1" applyFill="1" applyBorder="1" applyAlignment="1">
      <alignment horizontal="center" vertical="top" wrapText="1"/>
    </xf>
    <xf numFmtId="0" fontId="7" fillId="0" borderId="0" xfId="9">
      <alignment vertical="center"/>
    </xf>
    <xf numFmtId="176" fontId="22" fillId="0" borderId="0" xfId="9" applyNumberFormat="1" applyFont="1">
      <alignment vertical="center"/>
    </xf>
    <xf numFmtId="0" fontId="17" fillId="2" borderId="1" xfId="9" applyFont="1" applyFill="1" applyBorder="1" applyAlignment="1">
      <alignment horizontal="center" vertical="top" wrapText="1"/>
    </xf>
    <xf numFmtId="0" fontId="17" fillId="0" borderId="0" xfId="9" applyFont="1">
      <alignment vertical="center"/>
    </xf>
    <xf numFmtId="0" fontId="17" fillId="2" borderId="1" xfId="9" applyFont="1" applyFill="1" applyBorder="1" applyAlignment="1">
      <alignment horizontal="center" vertical="center" wrapText="1"/>
    </xf>
    <xf numFmtId="3" fontId="17" fillId="2" borderId="1" xfId="9" applyNumberFormat="1" applyFont="1" applyFill="1" applyBorder="1" applyAlignment="1">
      <alignment horizontal="right" vertical="center" wrapText="1"/>
    </xf>
    <xf numFmtId="3" fontId="17" fillId="0" borderId="0" xfId="9" applyNumberFormat="1" applyFont="1">
      <alignment vertical="center"/>
    </xf>
    <xf numFmtId="0" fontId="17" fillId="2" borderId="2" xfId="9" applyFont="1" applyFill="1" applyBorder="1" applyAlignment="1">
      <alignment horizontal="center" vertical="top" wrapText="1"/>
    </xf>
    <xf numFmtId="0" fontId="17" fillId="2" borderId="3" xfId="9" applyFont="1" applyFill="1" applyBorder="1" applyAlignment="1">
      <alignment horizontal="center" vertical="top" wrapText="1"/>
    </xf>
    <xf numFmtId="3" fontId="17" fillId="2" borderId="2" xfId="9" applyNumberFormat="1" applyFont="1" applyFill="1" applyBorder="1" applyAlignment="1">
      <alignment horizontal="right" vertical="center" wrapText="1"/>
    </xf>
    <xf numFmtId="3" fontId="17" fillId="2" borderId="3" xfId="9" applyNumberFormat="1" applyFont="1" applyFill="1" applyBorder="1" applyAlignment="1">
      <alignment horizontal="right" vertical="center" wrapText="1"/>
    </xf>
    <xf numFmtId="10" fontId="17" fillId="2" borderId="1" xfId="9" applyNumberFormat="1" applyFont="1" applyFill="1" applyBorder="1" applyAlignment="1">
      <alignment horizontal="right" vertical="center" wrapText="1"/>
    </xf>
    <xf numFmtId="0" fontId="17" fillId="2" borderId="4" xfId="9" applyFont="1" applyFill="1" applyBorder="1" applyAlignment="1">
      <alignment horizontal="center" vertical="top" wrapText="1"/>
    </xf>
    <xf numFmtId="0" fontId="6" fillId="0" borderId="0" xfId="10">
      <alignment vertical="center"/>
    </xf>
    <xf numFmtId="176" fontId="22" fillId="0" borderId="0" xfId="10" applyNumberFormat="1" applyFont="1">
      <alignment vertical="center"/>
    </xf>
    <xf numFmtId="0" fontId="17" fillId="2" borderId="1" xfId="10" applyFont="1" applyFill="1" applyBorder="1" applyAlignment="1">
      <alignment horizontal="center" vertical="top" wrapText="1"/>
    </xf>
    <xf numFmtId="0" fontId="17" fillId="0" borderId="0" xfId="10" applyFont="1">
      <alignment vertical="center"/>
    </xf>
    <xf numFmtId="0" fontId="17" fillId="2" borderId="1" xfId="10" applyFont="1" applyFill="1" applyBorder="1" applyAlignment="1">
      <alignment horizontal="center" vertical="center" wrapText="1"/>
    </xf>
    <xf numFmtId="3" fontId="17" fillId="2" borderId="1" xfId="10" applyNumberFormat="1" applyFont="1" applyFill="1" applyBorder="1" applyAlignment="1">
      <alignment horizontal="right" vertical="center" wrapText="1"/>
    </xf>
    <xf numFmtId="3" fontId="17" fillId="0" borderId="0" xfId="10" applyNumberFormat="1" applyFont="1">
      <alignment vertical="center"/>
    </xf>
    <xf numFmtId="0" fontId="17" fillId="2" borderId="2" xfId="10" applyFont="1" applyFill="1" applyBorder="1" applyAlignment="1">
      <alignment horizontal="center" vertical="top" wrapText="1"/>
    </xf>
    <xf numFmtId="0" fontId="17" fillId="2" borderId="3" xfId="10" applyFont="1" applyFill="1" applyBorder="1" applyAlignment="1">
      <alignment horizontal="center" vertical="top" wrapText="1"/>
    </xf>
    <xf numFmtId="3" fontId="17" fillId="2" borderId="2" xfId="10" applyNumberFormat="1" applyFont="1" applyFill="1" applyBorder="1" applyAlignment="1">
      <alignment horizontal="right" vertical="center" wrapText="1"/>
    </xf>
    <xf numFmtId="3" fontId="17" fillId="2" borderId="3" xfId="10" applyNumberFormat="1" applyFont="1" applyFill="1" applyBorder="1" applyAlignment="1">
      <alignment horizontal="right" vertical="center" wrapText="1"/>
    </xf>
    <xf numFmtId="10" fontId="17" fillId="2" borderId="1" xfId="10" applyNumberFormat="1" applyFont="1" applyFill="1" applyBorder="1" applyAlignment="1">
      <alignment horizontal="right" vertical="center" wrapText="1"/>
    </xf>
    <xf numFmtId="0" fontId="17" fillId="2" borderId="4" xfId="10" applyFont="1" applyFill="1" applyBorder="1" applyAlignment="1">
      <alignment horizontal="center" vertical="top" wrapText="1"/>
    </xf>
    <xf numFmtId="0" fontId="5" fillId="0" borderId="0" xfId="11">
      <alignment vertical="center"/>
    </xf>
    <xf numFmtId="176" fontId="22" fillId="0" borderId="0" xfId="11" applyNumberFormat="1" applyFont="1">
      <alignment vertical="center"/>
    </xf>
    <xf numFmtId="0" fontId="17" fillId="2" borderId="1" xfId="11" applyFont="1" applyFill="1" applyBorder="1" applyAlignment="1">
      <alignment horizontal="center" vertical="top" wrapText="1"/>
    </xf>
    <xf numFmtId="0" fontId="17" fillId="0" borderId="0" xfId="11" applyFont="1">
      <alignment vertical="center"/>
    </xf>
    <xf numFmtId="0" fontId="17" fillId="2" borderId="1" xfId="11" applyFont="1" applyFill="1" applyBorder="1" applyAlignment="1">
      <alignment horizontal="center" vertical="center" wrapText="1"/>
    </xf>
    <xf numFmtId="3" fontId="17" fillId="2" borderId="1" xfId="11" applyNumberFormat="1" applyFont="1" applyFill="1" applyBorder="1" applyAlignment="1">
      <alignment horizontal="right" vertical="center" wrapText="1"/>
    </xf>
    <xf numFmtId="3" fontId="17" fillId="0" borderId="0" xfId="11" applyNumberFormat="1" applyFont="1">
      <alignment vertical="center"/>
    </xf>
    <xf numFmtId="0" fontId="17" fillId="2" borderId="2" xfId="11" applyFont="1" applyFill="1" applyBorder="1" applyAlignment="1">
      <alignment horizontal="center" vertical="top" wrapText="1"/>
    </xf>
    <xf numFmtId="0" fontId="17" fillId="2" borderId="3" xfId="11" applyFont="1" applyFill="1" applyBorder="1" applyAlignment="1">
      <alignment horizontal="center" vertical="top" wrapText="1"/>
    </xf>
    <xf numFmtId="3" fontId="17" fillId="2" borderId="2" xfId="11" applyNumberFormat="1" applyFont="1" applyFill="1" applyBorder="1" applyAlignment="1">
      <alignment horizontal="right" vertical="center" wrapText="1"/>
    </xf>
    <xf numFmtId="3" fontId="17" fillId="2" borderId="3" xfId="11" applyNumberFormat="1" applyFont="1" applyFill="1" applyBorder="1" applyAlignment="1">
      <alignment horizontal="right" vertical="center" wrapText="1"/>
    </xf>
    <xf numFmtId="10" fontId="17" fillId="2" borderId="1" xfId="11" applyNumberFormat="1" applyFont="1" applyFill="1" applyBorder="1" applyAlignment="1">
      <alignment horizontal="right" vertical="center" wrapText="1"/>
    </xf>
    <xf numFmtId="0" fontId="17" fillId="2" borderId="4" xfId="11" applyFont="1" applyFill="1" applyBorder="1" applyAlignment="1">
      <alignment horizontal="center" vertical="top" wrapText="1"/>
    </xf>
    <xf numFmtId="0" fontId="3" fillId="0" borderId="0" xfId="13">
      <alignment vertical="center"/>
    </xf>
    <xf numFmtId="176" fontId="22" fillId="0" borderId="0" xfId="13" applyNumberFormat="1" applyFont="1">
      <alignment vertical="center"/>
    </xf>
    <xf numFmtId="0" fontId="17" fillId="2" borderId="1" xfId="13" applyFont="1" applyFill="1" applyBorder="1" applyAlignment="1">
      <alignment horizontal="center" vertical="top" wrapText="1"/>
    </xf>
    <xf numFmtId="0" fontId="17" fillId="0" borderId="0" xfId="13" applyFont="1">
      <alignment vertical="center"/>
    </xf>
    <xf numFmtId="0" fontId="17" fillId="2" borderId="1" xfId="13" applyFont="1" applyFill="1" applyBorder="1" applyAlignment="1">
      <alignment horizontal="center" vertical="center" wrapText="1"/>
    </xf>
    <xf numFmtId="3" fontId="17" fillId="2" borderId="1" xfId="13" applyNumberFormat="1" applyFont="1" applyFill="1" applyBorder="1" applyAlignment="1">
      <alignment horizontal="right" vertical="center" wrapText="1"/>
    </xf>
    <xf numFmtId="3" fontId="17" fillId="0" borderId="0" xfId="13" applyNumberFormat="1" applyFont="1">
      <alignment vertical="center"/>
    </xf>
    <xf numFmtId="0" fontId="17" fillId="2" borderId="2" xfId="13" applyFont="1" applyFill="1" applyBorder="1" applyAlignment="1">
      <alignment horizontal="center" vertical="top" wrapText="1"/>
    </xf>
    <xf numFmtId="0" fontId="17" fillId="2" borderId="3" xfId="13" applyFont="1" applyFill="1" applyBorder="1" applyAlignment="1">
      <alignment horizontal="center" vertical="top" wrapText="1"/>
    </xf>
    <xf numFmtId="3" fontId="17" fillId="2" borderId="2" xfId="13" applyNumberFormat="1" applyFont="1" applyFill="1" applyBorder="1" applyAlignment="1">
      <alignment horizontal="right" vertical="center" wrapText="1"/>
    </xf>
    <xf numFmtId="3" fontId="17" fillId="2" borderId="3" xfId="13" applyNumberFormat="1" applyFont="1" applyFill="1" applyBorder="1" applyAlignment="1">
      <alignment horizontal="right" vertical="center" wrapText="1"/>
    </xf>
    <xf numFmtId="10" fontId="17" fillId="2" borderId="1" xfId="13" applyNumberFormat="1" applyFont="1" applyFill="1" applyBorder="1" applyAlignment="1">
      <alignment horizontal="right" vertical="center" wrapText="1"/>
    </xf>
    <xf numFmtId="0" fontId="17" fillId="2" borderId="4" xfId="13" applyFont="1" applyFill="1" applyBorder="1" applyAlignment="1">
      <alignment horizontal="center" vertical="top" wrapText="1"/>
    </xf>
    <xf numFmtId="0" fontId="2" fillId="0" borderId="0" xfId="14">
      <alignment vertical="center"/>
    </xf>
    <xf numFmtId="176" fontId="22" fillId="0" borderId="0" xfId="14" applyNumberFormat="1" applyFont="1">
      <alignment vertical="center"/>
    </xf>
    <xf numFmtId="0" fontId="17" fillId="2" borderId="1" xfId="14" applyFont="1" applyFill="1" applyBorder="1" applyAlignment="1">
      <alignment horizontal="center" vertical="top" wrapText="1"/>
    </xf>
    <xf numFmtId="0" fontId="17" fillId="0" borderId="0" xfId="14" applyFont="1">
      <alignment vertical="center"/>
    </xf>
    <xf numFmtId="0" fontId="17" fillId="2" borderId="1" xfId="14" applyFont="1" applyFill="1" applyBorder="1" applyAlignment="1">
      <alignment horizontal="center" vertical="center" wrapText="1"/>
    </xf>
    <xf numFmtId="3" fontId="17" fillId="2" borderId="1" xfId="14" applyNumberFormat="1" applyFont="1" applyFill="1" applyBorder="1" applyAlignment="1">
      <alignment horizontal="right" vertical="center" wrapText="1"/>
    </xf>
    <xf numFmtId="3" fontId="17" fillId="0" borderId="0" xfId="14" applyNumberFormat="1" applyFont="1">
      <alignment vertical="center"/>
    </xf>
    <xf numFmtId="0" fontId="17" fillId="2" borderId="2" xfId="14" applyFont="1" applyFill="1" applyBorder="1" applyAlignment="1">
      <alignment horizontal="center" vertical="top" wrapText="1"/>
    </xf>
    <xf numFmtId="0" fontId="17" fillId="2" borderId="3" xfId="14" applyFont="1" applyFill="1" applyBorder="1" applyAlignment="1">
      <alignment horizontal="center" vertical="top" wrapText="1"/>
    </xf>
    <xf numFmtId="3" fontId="17" fillId="2" borderId="2" xfId="14" applyNumberFormat="1" applyFont="1" applyFill="1" applyBorder="1" applyAlignment="1">
      <alignment horizontal="right" vertical="center" wrapText="1"/>
    </xf>
    <xf numFmtId="3" fontId="17" fillId="2" borderId="3" xfId="14" applyNumberFormat="1" applyFont="1" applyFill="1" applyBorder="1" applyAlignment="1">
      <alignment horizontal="right" vertical="center" wrapText="1"/>
    </xf>
    <xf numFmtId="10" fontId="17" fillId="2" borderId="1" xfId="14" applyNumberFormat="1" applyFont="1" applyFill="1" applyBorder="1" applyAlignment="1">
      <alignment horizontal="right" vertical="center" wrapText="1"/>
    </xf>
    <xf numFmtId="0" fontId="17" fillId="2" borderId="4" xfId="14" applyFont="1" applyFill="1" applyBorder="1" applyAlignment="1">
      <alignment horizontal="center" vertical="top" wrapText="1"/>
    </xf>
    <xf numFmtId="0" fontId="1" fillId="0" borderId="0" xfId="15">
      <alignment vertical="center"/>
    </xf>
    <xf numFmtId="176" fontId="22" fillId="0" borderId="0" xfId="15" applyNumberFormat="1" applyFont="1">
      <alignment vertical="center"/>
    </xf>
    <xf numFmtId="0" fontId="17" fillId="2" borderId="1" xfId="15" applyFont="1" applyFill="1" applyBorder="1" applyAlignment="1">
      <alignment horizontal="center" vertical="top" wrapText="1"/>
    </xf>
    <xf numFmtId="0" fontId="17" fillId="0" borderId="0" xfId="15" applyFont="1">
      <alignment vertical="center"/>
    </xf>
    <xf numFmtId="0" fontId="17" fillId="2" borderId="1" xfId="15" applyFont="1" applyFill="1" applyBorder="1" applyAlignment="1">
      <alignment horizontal="center" vertical="center" wrapText="1"/>
    </xf>
    <xf numFmtId="3" fontId="17" fillId="2" borderId="1" xfId="15" applyNumberFormat="1" applyFont="1" applyFill="1" applyBorder="1" applyAlignment="1">
      <alignment horizontal="right" vertical="center" wrapText="1"/>
    </xf>
    <xf numFmtId="3" fontId="17" fillId="0" borderId="0" xfId="15" applyNumberFormat="1" applyFont="1">
      <alignment vertical="center"/>
    </xf>
    <xf numFmtId="0" fontId="17" fillId="2" borderId="2" xfId="15" applyFont="1" applyFill="1" applyBorder="1" applyAlignment="1">
      <alignment horizontal="center" vertical="top" wrapText="1"/>
    </xf>
    <xf numFmtId="0" fontId="17" fillId="2" borderId="3" xfId="15" applyFont="1" applyFill="1" applyBorder="1" applyAlignment="1">
      <alignment horizontal="center" vertical="top" wrapText="1"/>
    </xf>
    <xf numFmtId="3" fontId="17" fillId="2" borderId="2" xfId="15" applyNumberFormat="1" applyFont="1" applyFill="1" applyBorder="1" applyAlignment="1">
      <alignment horizontal="right" vertical="center" wrapText="1"/>
    </xf>
    <xf numFmtId="3" fontId="17" fillId="2" borderId="3" xfId="15" applyNumberFormat="1" applyFont="1" applyFill="1" applyBorder="1" applyAlignment="1">
      <alignment horizontal="right" vertical="center" wrapText="1"/>
    </xf>
    <xf numFmtId="10" fontId="17" fillId="2" borderId="1" xfId="15" applyNumberFormat="1" applyFont="1" applyFill="1" applyBorder="1" applyAlignment="1">
      <alignment horizontal="right" vertical="center" wrapText="1"/>
    </xf>
    <xf numFmtId="0" fontId="17" fillId="2" borderId="4" xfId="15" applyFont="1" applyFill="1" applyBorder="1" applyAlignment="1">
      <alignment horizontal="center" vertical="top" wrapText="1"/>
    </xf>
    <xf numFmtId="0" fontId="17" fillId="2" borderId="4" xfId="0" applyFont="1" applyFill="1" applyBorder="1" applyAlignment="1">
      <alignment horizontal="center" vertical="top" wrapText="1"/>
    </xf>
    <xf numFmtId="0" fontId="17" fillId="2" borderId="5" xfId="0" applyFont="1" applyFill="1" applyBorder="1" applyAlignment="1">
      <alignment horizontal="center" vertical="top" wrapText="1"/>
    </xf>
    <xf numFmtId="177" fontId="22" fillId="0" borderId="0" xfId="1" applyNumberFormat="1" applyFont="1" applyBorder="1" applyAlignment="1">
      <alignment horizontal="left" vertical="center"/>
    </xf>
    <xf numFmtId="0" fontId="17" fillId="2" borderId="4" xfId="1" applyFont="1" applyFill="1" applyBorder="1" applyAlignment="1">
      <alignment horizontal="center" vertical="top" wrapText="1"/>
    </xf>
    <xf numFmtId="0" fontId="17" fillId="2" borderId="5" xfId="1" applyFont="1" applyFill="1" applyBorder="1" applyAlignment="1">
      <alignment horizontal="center" vertical="top" wrapText="1"/>
    </xf>
    <xf numFmtId="177" fontId="22" fillId="0" borderId="0" xfId="6" applyNumberFormat="1" applyFont="1" applyBorder="1" applyAlignment="1">
      <alignment horizontal="left" vertical="center"/>
    </xf>
    <xf numFmtId="0" fontId="17" fillId="2" borderId="4" xfId="6" applyFont="1" applyFill="1" applyBorder="1" applyAlignment="1">
      <alignment horizontal="center" vertical="top" wrapText="1"/>
    </xf>
    <xf numFmtId="0" fontId="17" fillId="2" borderId="5" xfId="6" applyFont="1" applyFill="1" applyBorder="1" applyAlignment="1">
      <alignment horizontal="center" vertical="top" wrapText="1"/>
    </xf>
    <xf numFmtId="177" fontId="22" fillId="0" borderId="0" xfId="5" applyNumberFormat="1" applyFont="1" applyBorder="1" applyAlignment="1">
      <alignment horizontal="left" vertical="center"/>
    </xf>
    <xf numFmtId="0" fontId="17" fillId="2" borderId="4" xfId="5" applyFont="1" applyFill="1" applyBorder="1" applyAlignment="1">
      <alignment horizontal="center" vertical="top" wrapText="1"/>
    </xf>
    <xf numFmtId="0" fontId="17" fillId="2" borderId="5" xfId="5" applyFont="1" applyFill="1" applyBorder="1" applyAlignment="1">
      <alignment horizontal="center" vertical="top" wrapText="1"/>
    </xf>
    <xf numFmtId="177" fontId="22" fillId="0" borderId="0" xfId="7" applyNumberFormat="1" applyFont="1" applyBorder="1" applyAlignment="1">
      <alignment horizontal="left" vertical="center"/>
    </xf>
    <xf numFmtId="0" fontId="17" fillId="2" borderId="4" xfId="7" applyFont="1" applyFill="1" applyBorder="1" applyAlignment="1">
      <alignment horizontal="center" vertical="top" wrapText="1"/>
    </xf>
    <xf numFmtId="0" fontId="17" fillId="2" borderId="5" xfId="7" applyFont="1" applyFill="1" applyBorder="1" applyAlignment="1">
      <alignment horizontal="center" vertical="top" wrapText="1"/>
    </xf>
    <xf numFmtId="177" fontId="22" fillId="0" borderId="0" xfId="9" applyNumberFormat="1" applyFont="1" applyBorder="1" applyAlignment="1">
      <alignment horizontal="left" vertical="center"/>
    </xf>
    <xf numFmtId="0" fontId="17" fillId="2" borderId="4" xfId="9" applyFont="1" applyFill="1" applyBorder="1" applyAlignment="1">
      <alignment horizontal="center" vertical="top" wrapText="1"/>
    </xf>
    <xf numFmtId="0" fontId="17" fillId="2" borderId="5" xfId="9" applyFont="1" applyFill="1" applyBorder="1" applyAlignment="1">
      <alignment horizontal="center" vertical="top" wrapText="1"/>
    </xf>
    <xf numFmtId="177" fontId="22" fillId="0" borderId="0" xfId="10" applyNumberFormat="1" applyFont="1" applyBorder="1" applyAlignment="1">
      <alignment horizontal="left" vertical="center"/>
    </xf>
    <xf numFmtId="0" fontId="17" fillId="2" borderId="4" xfId="10" applyFont="1" applyFill="1" applyBorder="1" applyAlignment="1">
      <alignment horizontal="center" vertical="top" wrapText="1"/>
    </xf>
    <xf numFmtId="0" fontId="17" fillId="2" borderId="5" xfId="10" applyFont="1" applyFill="1" applyBorder="1" applyAlignment="1">
      <alignment horizontal="center" vertical="top" wrapText="1"/>
    </xf>
    <xf numFmtId="177" fontId="22" fillId="0" borderId="0" xfId="11" applyNumberFormat="1" applyFont="1" applyBorder="1" applyAlignment="1">
      <alignment horizontal="left" vertical="center"/>
    </xf>
    <xf numFmtId="0" fontId="17" fillId="2" borderId="4" xfId="11" applyFont="1" applyFill="1" applyBorder="1" applyAlignment="1">
      <alignment horizontal="center" vertical="top" wrapText="1"/>
    </xf>
    <xf numFmtId="0" fontId="17" fillId="2" borderId="5" xfId="11" applyFont="1" applyFill="1" applyBorder="1" applyAlignment="1">
      <alignment horizontal="center" vertical="top" wrapText="1"/>
    </xf>
    <xf numFmtId="177" fontId="22" fillId="0" borderId="0" xfId="13" applyNumberFormat="1" applyFont="1" applyBorder="1" applyAlignment="1">
      <alignment horizontal="left" vertical="center"/>
    </xf>
    <xf numFmtId="0" fontId="17" fillId="2" borderId="4" xfId="13" applyFont="1" applyFill="1" applyBorder="1" applyAlignment="1">
      <alignment horizontal="center" vertical="top" wrapText="1"/>
    </xf>
    <xf numFmtId="0" fontId="17" fillId="2" borderId="5" xfId="13" applyFont="1" applyFill="1" applyBorder="1" applyAlignment="1">
      <alignment horizontal="center" vertical="top" wrapText="1"/>
    </xf>
    <xf numFmtId="177" fontId="22" fillId="0" borderId="0" xfId="14" applyNumberFormat="1" applyFont="1" applyBorder="1" applyAlignment="1">
      <alignment horizontal="left" vertical="center"/>
    </xf>
    <xf numFmtId="0" fontId="17" fillId="2" borderId="4" xfId="14" applyFont="1" applyFill="1" applyBorder="1" applyAlignment="1">
      <alignment horizontal="center" vertical="top" wrapText="1"/>
    </xf>
    <xf numFmtId="0" fontId="17" fillId="2" borderId="5" xfId="14" applyFont="1" applyFill="1" applyBorder="1" applyAlignment="1">
      <alignment horizontal="center" vertical="top" wrapText="1"/>
    </xf>
    <xf numFmtId="177" fontId="22" fillId="0" borderId="0" xfId="15" applyNumberFormat="1" applyFont="1" applyBorder="1" applyAlignment="1">
      <alignment horizontal="left" vertical="center"/>
    </xf>
    <xf numFmtId="0" fontId="17" fillId="2" borderId="4" xfId="15" applyFont="1" applyFill="1" applyBorder="1" applyAlignment="1">
      <alignment horizontal="center" vertical="top" wrapText="1"/>
    </xf>
    <xf numFmtId="0" fontId="17" fillId="2" borderId="5" xfId="15" applyFont="1" applyFill="1" applyBorder="1" applyAlignment="1">
      <alignment horizontal="center" vertical="top" wrapText="1"/>
    </xf>
  </cellXfs>
  <cellStyles count="16">
    <cellStyle name="標準" xfId="0" builtinId="0"/>
    <cellStyle name="標準 10" xfId="9"/>
    <cellStyle name="標準 11" xfId="10"/>
    <cellStyle name="標準 12" xfId="11"/>
    <cellStyle name="標準 13" xfId="12"/>
    <cellStyle name="標準 14" xfId="13"/>
    <cellStyle name="標準 15" xfId="14"/>
    <cellStyle name="標準 16" xfId="15"/>
    <cellStyle name="標準 2" xfId="1"/>
    <cellStyle name="標準 3" xfId="2"/>
    <cellStyle name="標準 4" xfId="3"/>
    <cellStyle name="標準 5" xfId="4"/>
    <cellStyle name="標準 6" xfId="5"/>
    <cellStyle name="標準 7" xfId="6"/>
    <cellStyle name="標準 8" xfId="7"/>
    <cellStyle name="標準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0029/L/&#9315;&#12507;&#12540;&#12512;&#12506;&#12540;&#12472;&#32113;&#35336;&#24773;&#22577;/&#27598;&#26376;&#20154;&#21475;/H31/&#24180;&#40802;&#21029;&#30007;&#22899;&#21029;&#20154;&#21475;&#35519;&#32232;&#38598;&#29992;1&#26411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K0029/L/&#9315;&#12507;&#12540;&#12512;&#12506;&#12540;&#12472;&#32113;&#35336;&#24773;&#22577;/&#27598;&#26376;&#20154;&#21475;/H31/&#24180;&#40802;&#21029;&#30007;&#22899;&#21029;&#20154;&#21475;&#35519;&#32232;&#38598;&#29992;&#65288;R1.10&#26411;&#65289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K0029/L/&#9315;&#12507;&#12540;&#12512;&#12506;&#12540;&#12472;&#32113;&#35336;&#24773;&#22577;/&#27598;&#26376;&#20154;&#21475;/H31/&#24180;&#40802;&#21029;&#30007;&#22899;&#21029;&#20154;&#21475;&#35519;&#32232;&#38598;&#29992;&#65288;R1.11&#26411;&#65289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K0029/L/&#9315;&#12507;&#12540;&#12512;&#12506;&#12540;&#12472;&#32113;&#35336;&#24773;&#22577;/&#27598;&#26376;&#20154;&#21475;/H31/&#24180;&#40802;&#21029;&#30007;&#22899;&#21029;&#20154;&#21475;&#35519;&#32232;&#38598;&#29992;&#65288;R1.12&#26411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0029/L/&#9315;&#12507;&#12540;&#12512;&#12506;&#12540;&#12472;&#32113;&#35336;&#24773;&#22577;/&#27598;&#26376;&#20154;&#21475;/H31/&#24180;&#40802;&#21029;&#30007;&#22899;&#21029;&#20154;&#21475;&#35519;&#32232;&#38598;&#29992;2&#26411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K0029/L/&#9315;&#12507;&#12540;&#12512;&#12506;&#12540;&#12472;&#32113;&#35336;&#24773;&#22577;/&#27598;&#26376;&#20154;&#21475;/H31/&#24180;&#40802;&#21029;&#30007;&#22899;&#21029;&#20154;&#21475;&#35519;&#32232;&#38598;&#29992;&#65288;H31.3&#26411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K0029/L/&#9315;&#12507;&#12540;&#12512;&#12506;&#12540;&#12472;&#32113;&#35336;&#24773;&#22577;/&#27598;&#26376;&#20154;&#21475;/H31/&#24180;&#40802;&#21029;&#30007;&#22899;&#21029;&#20154;&#21475;&#35519;&#32232;&#38598;&#29992;&#65288;H31.4&#26411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K0029/L/&#9315;&#12507;&#12540;&#12512;&#12506;&#12540;&#12472;&#32113;&#35336;&#24773;&#22577;/&#27598;&#26376;&#20154;&#21475;/H31/&#24180;&#40802;&#21029;&#30007;&#22899;&#21029;&#20154;&#21475;&#35519;&#32232;&#38598;&#29992;&#65288;R1.5&#26411;&#65289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K0029/L/&#9315;&#12507;&#12540;&#12512;&#12506;&#12540;&#12472;&#32113;&#35336;&#24773;&#22577;/&#27598;&#26376;&#20154;&#21475;/H31/&#24180;&#40802;&#21029;&#30007;&#22899;&#21029;&#20154;&#21475;&#35519;&#32232;&#38598;&#29992;&#65288;R1.6&#26411;&#65289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K0029/L/&#9315;&#12507;&#12540;&#12512;&#12506;&#12540;&#12472;&#32113;&#35336;&#24773;&#22577;/&#27598;&#26376;&#20154;&#21475;/H31/&#24180;&#40802;&#21029;&#30007;&#22899;&#21029;&#20154;&#21475;&#35519;&#32232;&#38598;&#29992;&#65288;R1.7&#26411;&#65289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K0029/L/&#9315;&#12507;&#12540;&#12512;&#12506;&#12540;&#12472;&#32113;&#35336;&#24773;&#22577;/&#27598;&#26376;&#20154;&#21475;/H31/&#24180;&#40802;&#21029;&#30007;&#22899;&#21029;&#20154;&#21475;&#35519;&#32232;&#38598;&#29992;&#65288;R1.8&#26411;&#65289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K0029/L/&#9315;&#12507;&#12540;&#12512;&#12506;&#12540;&#12472;&#32113;&#35336;&#24773;&#22577;/&#27598;&#26376;&#20154;&#21475;/H31/&#24180;&#40802;&#21029;&#30007;&#22899;&#21029;&#20154;&#21475;&#35519;&#32232;&#38598;&#29992;&#65288;R1.9&#26411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操作方法"/>
      <sheetName val="データ貼り付けシート"/>
      <sheetName val="印刷用シート"/>
      <sheetName val="ホームページ用シート"/>
    </sheetNames>
    <sheetDataSet>
      <sheetData sheetId="0" refreshError="1"/>
      <sheetData sheetId="1">
        <row r="1">
          <cell r="A1" t="str">
            <v>自治体名</v>
          </cell>
          <cell r="B1" t="str">
            <v>集計区分</v>
          </cell>
          <cell r="C1" t="str">
            <v>基準日</v>
          </cell>
          <cell r="D1" t="str">
            <v>0_男</v>
          </cell>
          <cell r="E1" t="str">
            <v>1_男</v>
          </cell>
          <cell r="F1" t="str">
            <v>2_男</v>
          </cell>
          <cell r="G1" t="str">
            <v>3_男</v>
          </cell>
          <cell r="H1" t="str">
            <v>4_男</v>
          </cell>
          <cell r="I1" t="str">
            <v>5_男</v>
          </cell>
          <cell r="J1" t="str">
            <v>6_男</v>
          </cell>
          <cell r="K1" t="str">
            <v>7_男</v>
          </cell>
          <cell r="L1" t="str">
            <v>8_男</v>
          </cell>
          <cell r="M1" t="str">
            <v>9_男</v>
          </cell>
          <cell r="N1" t="str">
            <v>10_男</v>
          </cell>
          <cell r="O1" t="str">
            <v>11_男</v>
          </cell>
          <cell r="P1" t="str">
            <v>12_男</v>
          </cell>
          <cell r="Q1" t="str">
            <v>13_男</v>
          </cell>
          <cell r="R1" t="str">
            <v>14_男</v>
          </cell>
          <cell r="S1" t="str">
            <v>15_男</v>
          </cell>
          <cell r="T1" t="str">
            <v>16_男</v>
          </cell>
          <cell r="U1" t="str">
            <v>17_男</v>
          </cell>
          <cell r="V1" t="str">
            <v>18_男</v>
          </cell>
          <cell r="W1" t="str">
            <v>19_男</v>
          </cell>
          <cell r="X1" t="str">
            <v>20_男</v>
          </cell>
          <cell r="Y1" t="str">
            <v>21_男</v>
          </cell>
          <cell r="Z1" t="str">
            <v>22_男</v>
          </cell>
          <cell r="AA1" t="str">
            <v>23_男</v>
          </cell>
          <cell r="AB1" t="str">
            <v>24_男</v>
          </cell>
          <cell r="AC1" t="str">
            <v>25_男</v>
          </cell>
          <cell r="AD1" t="str">
            <v>26_男</v>
          </cell>
          <cell r="AE1" t="str">
            <v>27_男</v>
          </cell>
          <cell r="AF1" t="str">
            <v>28_男</v>
          </cell>
          <cell r="AG1" t="str">
            <v>29_男</v>
          </cell>
          <cell r="AH1" t="str">
            <v>30_男</v>
          </cell>
          <cell r="AI1" t="str">
            <v>31_男</v>
          </cell>
          <cell r="AJ1" t="str">
            <v>32_男</v>
          </cell>
          <cell r="AK1" t="str">
            <v>33_男</v>
          </cell>
          <cell r="AL1" t="str">
            <v>34_男</v>
          </cell>
          <cell r="AM1" t="str">
            <v>35_男</v>
          </cell>
          <cell r="AN1" t="str">
            <v>36_男</v>
          </cell>
          <cell r="AO1" t="str">
            <v>37_男</v>
          </cell>
          <cell r="AP1" t="str">
            <v>38_男</v>
          </cell>
          <cell r="AQ1" t="str">
            <v>39_男</v>
          </cell>
          <cell r="AR1" t="str">
            <v>40_男</v>
          </cell>
          <cell r="AS1" t="str">
            <v>41_男</v>
          </cell>
          <cell r="AT1" t="str">
            <v>42_男</v>
          </cell>
          <cell r="AU1" t="str">
            <v>43_男</v>
          </cell>
          <cell r="AV1" t="str">
            <v>44_男</v>
          </cell>
          <cell r="AW1" t="str">
            <v>45_男</v>
          </cell>
          <cell r="AX1" t="str">
            <v>46_男</v>
          </cell>
          <cell r="AY1" t="str">
            <v>47_男</v>
          </cell>
          <cell r="AZ1" t="str">
            <v>48_男</v>
          </cell>
          <cell r="BA1" t="str">
            <v>49_男</v>
          </cell>
          <cell r="BB1" t="str">
            <v>50_男</v>
          </cell>
          <cell r="BC1" t="str">
            <v>51_男</v>
          </cell>
          <cell r="BD1" t="str">
            <v>52_男</v>
          </cell>
          <cell r="BE1" t="str">
            <v>53_男</v>
          </cell>
          <cell r="BF1" t="str">
            <v>54_男</v>
          </cell>
          <cell r="BG1" t="str">
            <v>55_男</v>
          </cell>
          <cell r="BH1" t="str">
            <v>56_男</v>
          </cell>
          <cell r="BI1" t="str">
            <v>57_男</v>
          </cell>
          <cell r="BJ1" t="str">
            <v>58_男</v>
          </cell>
          <cell r="BK1" t="str">
            <v>59_男</v>
          </cell>
          <cell r="BL1" t="str">
            <v>60_男</v>
          </cell>
          <cell r="BM1" t="str">
            <v>61_男</v>
          </cell>
          <cell r="BN1" t="str">
            <v>62_男</v>
          </cell>
          <cell r="BO1" t="str">
            <v>63_男</v>
          </cell>
          <cell r="BP1" t="str">
            <v>64_男</v>
          </cell>
          <cell r="BQ1" t="str">
            <v>65_男</v>
          </cell>
          <cell r="BR1" t="str">
            <v>66_男</v>
          </cell>
          <cell r="BS1" t="str">
            <v>67_男</v>
          </cell>
          <cell r="BT1" t="str">
            <v>68_男</v>
          </cell>
          <cell r="BU1" t="str">
            <v>69_男</v>
          </cell>
          <cell r="BV1" t="str">
            <v>70_男</v>
          </cell>
          <cell r="BW1" t="str">
            <v>71_男</v>
          </cell>
          <cell r="BX1" t="str">
            <v>72_男</v>
          </cell>
          <cell r="BY1" t="str">
            <v>73_男</v>
          </cell>
          <cell r="BZ1" t="str">
            <v>74_男</v>
          </cell>
          <cell r="CA1" t="str">
            <v>75_男</v>
          </cell>
          <cell r="CB1" t="str">
            <v>76_男</v>
          </cell>
          <cell r="CC1" t="str">
            <v>77_男</v>
          </cell>
          <cell r="CD1" t="str">
            <v>78_男</v>
          </cell>
          <cell r="CE1" t="str">
            <v>79_男</v>
          </cell>
          <cell r="CF1" t="str">
            <v>80_男</v>
          </cell>
          <cell r="CG1" t="str">
            <v>81_男</v>
          </cell>
          <cell r="CH1" t="str">
            <v>82_男</v>
          </cell>
          <cell r="CI1" t="str">
            <v>83_男</v>
          </cell>
          <cell r="CJ1" t="str">
            <v>84_男</v>
          </cell>
          <cell r="CK1" t="str">
            <v>85_男</v>
          </cell>
          <cell r="CL1" t="str">
            <v>86_男</v>
          </cell>
          <cell r="CM1" t="str">
            <v>87_男</v>
          </cell>
          <cell r="CN1" t="str">
            <v>88_男</v>
          </cell>
          <cell r="CO1" t="str">
            <v>89_男</v>
          </cell>
          <cell r="CP1" t="str">
            <v>90_男</v>
          </cell>
          <cell r="CQ1" t="str">
            <v>91_男</v>
          </cell>
          <cell r="CR1" t="str">
            <v>92_男</v>
          </cell>
          <cell r="CS1" t="str">
            <v>93_男</v>
          </cell>
          <cell r="CT1" t="str">
            <v>94_男</v>
          </cell>
          <cell r="CU1" t="str">
            <v>95_男</v>
          </cell>
          <cell r="CV1" t="str">
            <v>96_男</v>
          </cell>
          <cell r="CW1" t="str">
            <v>97_男</v>
          </cell>
          <cell r="CX1" t="str">
            <v>98_男</v>
          </cell>
          <cell r="CY1" t="str">
            <v>99_男</v>
          </cell>
          <cell r="CZ1" t="str">
            <v>100_男</v>
          </cell>
          <cell r="DA1" t="str">
            <v>101_男</v>
          </cell>
          <cell r="DB1" t="str">
            <v>102_男</v>
          </cell>
          <cell r="DC1" t="str">
            <v>103_男</v>
          </cell>
          <cell r="DD1" t="str">
            <v>104_男</v>
          </cell>
          <cell r="DE1" t="str">
            <v>105以上_男</v>
          </cell>
          <cell r="DF1" t="str">
            <v>0_女</v>
          </cell>
          <cell r="DG1" t="str">
            <v>1_女</v>
          </cell>
          <cell r="DH1" t="str">
            <v>2_女</v>
          </cell>
          <cell r="DI1" t="str">
            <v>3_女</v>
          </cell>
          <cell r="DJ1" t="str">
            <v>4_女</v>
          </cell>
          <cell r="DK1" t="str">
            <v>5_女</v>
          </cell>
          <cell r="DL1" t="str">
            <v>6_女</v>
          </cell>
          <cell r="DM1" t="str">
            <v>7_女</v>
          </cell>
          <cell r="DN1" t="str">
            <v>8_女</v>
          </cell>
          <cell r="DO1" t="str">
            <v>9_女</v>
          </cell>
          <cell r="DP1" t="str">
            <v>10_女</v>
          </cell>
          <cell r="DQ1" t="str">
            <v>11_女</v>
          </cell>
          <cell r="DR1" t="str">
            <v>12_女</v>
          </cell>
          <cell r="DS1" t="str">
            <v>13_女</v>
          </cell>
          <cell r="DT1" t="str">
            <v>14_女</v>
          </cell>
          <cell r="DU1" t="str">
            <v>15_女</v>
          </cell>
          <cell r="DV1" t="str">
            <v>16_女</v>
          </cell>
          <cell r="DW1" t="str">
            <v>17_女</v>
          </cell>
          <cell r="DX1" t="str">
            <v>18_女</v>
          </cell>
          <cell r="DY1" t="str">
            <v>19_女</v>
          </cell>
          <cell r="DZ1" t="str">
            <v>20_女</v>
          </cell>
          <cell r="EA1" t="str">
            <v>21_女</v>
          </cell>
          <cell r="EB1" t="str">
            <v>22_女</v>
          </cell>
          <cell r="EC1" t="str">
            <v>23_女</v>
          </cell>
          <cell r="ED1" t="str">
            <v>24_女</v>
          </cell>
          <cell r="EE1" t="str">
            <v>25_女</v>
          </cell>
          <cell r="EF1" t="str">
            <v>26_女</v>
          </cell>
          <cell r="EG1" t="str">
            <v>27_女</v>
          </cell>
          <cell r="EH1" t="str">
            <v>28_女</v>
          </cell>
          <cell r="EI1" t="str">
            <v>29_女</v>
          </cell>
          <cell r="EJ1" t="str">
            <v>30_女</v>
          </cell>
          <cell r="EK1" t="str">
            <v>31_女</v>
          </cell>
          <cell r="EL1" t="str">
            <v>32_女</v>
          </cell>
          <cell r="EM1" t="str">
            <v>33_女</v>
          </cell>
          <cell r="EN1" t="str">
            <v>34_女</v>
          </cell>
          <cell r="EO1" t="str">
            <v>35_女</v>
          </cell>
          <cell r="EP1" t="str">
            <v>36_女</v>
          </cell>
          <cell r="EQ1" t="str">
            <v>37_女</v>
          </cell>
          <cell r="ER1" t="str">
            <v>38_女</v>
          </cell>
          <cell r="ES1" t="str">
            <v>39_女</v>
          </cell>
          <cell r="ET1" t="str">
            <v>40_女</v>
          </cell>
          <cell r="EU1" t="str">
            <v>41_女</v>
          </cell>
          <cell r="EV1" t="str">
            <v>42_女</v>
          </cell>
          <cell r="EW1" t="str">
            <v>43_女</v>
          </cell>
          <cell r="EX1" t="str">
            <v>44_女</v>
          </cell>
          <cell r="EY1" t="str">
            <v>45_女</v>
          </cell>
          <cell r="EZ1" t="str">
            <v>46_女</v>
          </cell>
          <cell r="FA1" t="str">
            <v>47_女</v>
          </cell>
          <cell r="FB1" t="str">
            <v>48_女</v>
          </cell>
          <cell r="FC1" t="str">
            <v>49_女</v>
          </cell>
          <cell r="FD1" t="str">
            <v>50_女</v>
          </cell>
          <cell r="FE1" t="str">
            <v>51_女</v>
          </cell>
          <cell r="FF1" t="str">
            <v>52_女</v>
          </cell>
          <cell r="FG1" t="str">
            <v>53_女</v>
          </cell>
          <cell r="FH1" t="str">
            <v>54_女</v>
          </cell>
          <cell r="FI1" t="str">
            <v>55_女</v>
          </cell>
          <cell r="FJ1" t="str">
            <v>56_女</v>
          </cell>
          <cell r="FK1" t="str">
            <v>57_女</v>
          </cell>
          <cell r="FL1" t="str">
            <v>58_女</v>
          </cell>
          <cell r="FM1" t="str">
            <v>59_女</v>
          </cell>
          <cell r="FN1" t="str">
            <v>60_女</v>
          </cell>
          <cell r="FO1" t="str">
            <v>61_女</v>
          </cell>
          <cell r="FP1" t="str">
            <v>62_女</v>
          </cell>
          <cell r="FQ1" t="str">
            <v>63_女</v>
          </cell>
          <cell r="FR1" t="str">
            <v>64_女</v>
          </cell>
          <cell r="FS1" t="str">
            <v>65_女</v>
          </cell>
          <cell r="FT1" t="str">
            <v>66_女</v>
          </cell>
          <cell r="FU1" t="str">
            <v>67_女</v>
          </cell>
          <cell r="FV1" t="str">
            <v>68_女</v>
          </cell>
          <cell r="FW1" t="str">
            <v>69_女</v>
          </cell>
          <cell r="FX1" t="str">
            <v>70_女</v>
          </cell>
          <cell r="FY1" t="str">
            <v>71_女</v>
          </cell>
          <cell r="FZ1" t="str">
            <v>72_女</v>
          </cell>
          <cell r="GA1" t="str">
            <v>73_女</v>
          </cell>
          <cell r="GB1" t="str">
            <v>74_女</v>
          </cell>
          <cell r="GC1" t="str">
            <v>75_女</v>
          </cell>
          <cell r="GD1" t="str">
            <v>76_女</v>
          </cell>
          <cell r="GE1" t="str">
            <v>77_女</v>
          </cell>
          <cell r="GF1" t="str">
            <v>78_女</v>
          </cell>
          <cell r="GG1" t="str">
            <v>79_女</v>
          </cell>
          <cell r="GH1" t="str">
            <v>80_女</v>
          </cell>
          <cell r="GI1" t="str">
            <v>81_女</v>
          </cell>
          <cell r="GJ1" t="str">
            <v>82_女</v>
          </cell>
          <cell r="GK1" t="str">
            <v>83_女</v>
          </cell>
          <cell r="GL1" t="str">
            <v>84_女</v>
          </cell>
          <cell r="GM1" t="str">
            <v>85_女</v>
          </cell>
          <cell r="GN1" t="str">
            <v>86_女</v>
          </cell>
          <cell r="GO1" t="str">
            <v>87_女</v>
          </cell>
          <cell r="GP1" t="str">
            <v>88_女</v>
          </cell>
          <cell r="GQ1" t="str">
            <v>89_女</v>
          </cell>
          <cell r="GR1" t="str">
            <v>90_女</v>
          </cell>
          <cell r="GS1" t="str">
            <v>91_女</v>
          </cell>
          <cell r="GT1" t="str">
            <v>92_女</v>
          </cell>
          <cell r="GU1" t="str">
            <v>93_女</v>
          </cell>
          <cell r="GV1" t="str">
            <v>94_女</v>
          </cell>
          <cell r="GW1" t="str">
            <v>95_女</v>
          </cell>
          <cell r="GX1" t="str">
            <v>96_女</v>
          </cell>
          <cell r="GY1" t="str">
            <v>97_女</v>
          </cell>
          <cell r="GZ1" t="str">
            <v>98_女</v>
          </cell>
          <cell r="HA1" t="str">
            <v>99_女</v>
          </cell>
          <cell r="HB1" t="str">
            <v>100_女</v>
          </cell>
          <cell r="HC1" t="str">
            <v>101_女</v>
          </cell>
          <cell r="HD1" t="str">
            <v>102_女</v>
          </cell>
          <cell r="HE1" t="str">
            <v>103_女</v>
          </cell>
          <cell r="HF1" t="str">
            <v>104_女</v>
          </cell>
          <cell r="HG1" t="str">
            <v>105_女</v>
          </cell>
          <cell r="HH1" t="str">
            <v>106_女</v>
          </cell>
          <cell r="HI1" t="str">
            <v>0_全体</v>
          </cell>
          <cell r="HJ1" t="str">
            <v>1_全体</v>
          </cell>
          <cell r="HK1" t="str">
            <v>2_全体</v>
          </cell>
          <cell r="HL1" t="str">
            <v>3_全体</v>
          </cell>
          <cell r="HM1" t="str">
            <v>4_全体</v>
          </cell>
          <cell r="HN1" t="str">
            <v>5_全体</v>
          </cell>
          <cell r="HO1" t="str">
            <v>6_全体</v>
          </cell>
          <cell r="HP1" t="str">
            <v>7_全体</v>
          </cell>
          <cell r="HQ1" t="str">
            <v>8_全体</v>
          </cell>
          <cell r="HR1" t="str">
            <v>9_全体</v>
          </cell>
          <cell r="HS1" t="str">
            <v>10_全体</v>
          </cell>
          <cell r="HT1" t="str">
            <v>11_全体</v>
          </cell>
          <cell r="HU1" t="str">
            <v>12_全体</v>
          </cell>
          <cell r="HV1" t="str">
            <v>13_全体</v>
          </cell>
          <cell r="HW1" t="str">
            <v>14_全体</v>
          </cell>
          <cell r="HX1" t="str">
            <v>15_全体</v>
          </cell>
          <cell r="HY1" t="str">
            <v>16_全体</v>
          </cell>
          <cell r="HZ1" t="str">
            <v>17_全体</v>
          </cell>
          <cell r="IA1" t="str">
            <v>18_全体</v>
          </cell>
          <cell r="IB1" t="str">
            <v>19_全体</v>
          </cell>
          <cell r="IC1" t="str">
            <v>20_全体</v>
          </cell>
          <cell r="ID1" t="str">
            <v>21_全体</v>
          </cell>
          <cell r="IE1" t="str">
            <v>22_全体</v>
          </cell>
          <cell r="IF1" t="str">
            <v>23_全体</v>
          </cell>
          <cell r="IG1" t="str">
            <v>24_全体</v>
          </cell>
          <cell r="IH1" t="str">
            <v>25_全体</v>
          </cell>
          <cell r="II1" t="str">
            <v>26_全体</v>
          </cell>
          <cell r="IJ1" t="str">
            <v>27_全体</v>
          </cell>
          <cell r="IK1" t="str">
            <v>28_全体</v>
          </cell>
          <cell r="IL1" t="str">
            <v>29_全体</v>
          </cell>
          <cell r="IM1" t="str">
            <v>30_全体</v>
          </cell>
          <cell r="IN1" t="str">
            <v>31_全体</v>
          </cell>
          <cell r="IO1" t="str">
            <v>32_全体</v>
          </cell>
          <cell r="IP1" t="str">
            <v>33_全体</v>
          </cell>
          <cell r="IQ1" t="str">
            <v>34_全体</v>
          </cell>
          <cell r="IR1" t="str">
            <v>35_全体</v>
          </cell>
          <cell r="IS1" t="str">
            <v>36_全体</v>
          </cell>
          <cell r="IT1" t="str">
            <v>37_全体</v>
          </cell>
          <cell r="IU1" t="str">
            <v>38_全体</v>
          </cell>
          <cell r="IV1" t="str">
            <v>39_全体</v>
          </cell>
          <cell r="IW1" t="str">
            <v>40_全体</v>
          </cell>
          <cell r="IX1" t="str">
            <v>41_全体</v>
          </cell>
          <cell r="IY1" t="str">
            <v>42_全体</v>
          </cell>
          <cell r="IZ1" t="str">
            <v>43_全体</v>
          </cell>
          <cell r="JA1" t="str">
            <v>44_全体</v>
          </cell>
          <cell r="JB1" t="str">
            <v>45_全体</v>
          </cell>
          <cell r="JC1" t="str">
            <v>46_全体</v>
          </cell>
          <cell r="JD1" t="str">
            <v>47_全体</v>
          </cell>
          <cell r="JE1" t="str">
            <v>48_全体</v>
          </cell>
          <cell r="JF1" t="str">
            <v>49_全体</v>
          </cell>
          <cell r="JG1" t="str">
            <v>50_全体</v>
          </cell>
          <cell r="JH1" t="str">
            <v>51_全体</v>
          </cell>
          <cell r="JI1" t="str">
            <v>52_全体</v>
          </cell>
          <cell r="JJ1" t="str">
            <v>53_全体</v>
          </cell>
          <cell r="JK1" t="str">
            <v>54_全体</v>
          </cell>
          <cell r="JL1" t="str">
            <v>55_全体</v>
          </cell>
          <cell r="JM1" t="str">
            <v>56_全体</v>
          </cell>
          <cell r="JN1" t="str">
            <v>57_全体</v>
          </cell>
          <cell r="JO1" t="str">
            <v>58_全体</v>
          </cell>
          <cell r="JP1" t="str">
            <v>59_全体</v>
          </cell>
          <cell r="JQ1" t="str">
            <v>60_全体</v>
          </cell>
          <cell r="JR1" t="str">
            <v>61_全体</v>
          </cell>
          <cell r="JS1" t="str">
            <v>62_全体</v>
          </cell>
          <cell r="JT1" t="str">
            <v>63_全体</v>
          </cell>
          <cell r="JU1" t="str">
            <v>64_全体</v>
          </cell>
          <cell r="JV1" t="str">
            <v>65_全体</v>
          </cell>
          <cell r="JW1" t="str">
            <v>66_全体</v>
          </cell>
          <cell r="JX1" t="str">
            <v>67_全体</v>
          </cell>
          <cell r="JY1" t="str">
            <v>68_全体</v>
          </cell>
          <cell r="JZ1" t="str">
            <v>69_全体</v>
          </cell>
          <cell r="KA1" t="str">
            <v>70_全体</v>
          </cell>
          <cell r="KB1" t="str">
            <v>71_全体</v>
          </cell>
          <cell r="KC1" t="str">
            <v>72_全体</v>
          </cell>
          <cell r="KD1" t="str">
            <v>73_全体</v>
          </cell>
          <cell r="KE1" t="str">
            <v>74_全体</v>
          </cell>
          <cell r="KF1" t="str">
            <v>75_全体</v>
          </cell>
          <cell r="KG1" t="str">
            <v>76_全体</v>
          </cell>
          <cell r="KH1" t="str">
            <v>77_全体</v>
          </cell>
          <cell r="KI1" t="str">
            <v>78_全体</v>
          </cell>
          <cell r="KJ1" t="str">
            <v>79_全体</v>
          </cell>
          <cell r="KK1" t="str">
            <v>80_全体</v>
          </cell>
          <cell r="KL1" t="str">
            <v>81_全体</v>
          </cell>
          <cell r="KM1" t="str">
            <v>82_全体</v>
          </cell>
          <cell r="KN1" t="str">
            <v>83_全体</v>
          </cell>
          <cell r="KO1" t="str">
            <v>84_全体</v>
          </cell>
          <cell r="KP1" t="str">
            <v>85_全体</v>
          </cell>
          <cell r="KQ1" t="str">
            <v>86_全体</v>
          </cell>
          <cell r="KR1" t="str">
            <v>87_全体</v>
          </cell>
          <cell r="KS1" t="str">
            <v>88_全体</v>
          </cell>
          <cell r="KT1" t="str">
            <v>89_全体</v>
          </cell>
          <cell r="KU1" t="str">
            <v>90_全体</v>
          </cell>
          <cell r="KV1" t="str">
            <v>91_全体</v>
          </cell>
          <cell r="KW1" t="str">
            <v>92_全体</v>
          </cell>
          <cell r="KX1" t="str">
            <v>93_全体</v>
          </cell>
          <cell r="KY1" t="str">
            <v>94_全体</v>
          </cell>
          <cell r="KZ1" t="str">
            <v>95_全体</v>
          </cell>
          <cell r="LA1" t="str">
            <v>96_全体</v>
          </cell>
          <cell r="LB1" t="str">
            <v>97_全体</v>
          </cell>
          <cell r="LC1" t="str">
            <v>98_全体</v>
          </cell>
          <cell r="LD1" t="str">
            <v>99_全体</v>
          </cell>
          <cell r="LE1" t="str">
            <v>100_全体</v>
          </cell>
          <cell r="LF1" t="str">
            <v>101_全体</v>
          </cell>
          <cell r="LG1" t="str">
            <v>102_全体</v>
          </cell>
          <cell r="LH1" t="str">
            <v>103_全体</v>
          </cell>
          <cell r="LI1" t="str">
            <v>104_全体</v>
          </cell>
          <cell r="LJ1" t="str">
            <v>105_全体</v>
          </cell>
          <cell r="LK1" t="str">
            <v>106_全体</v>
          </cell>
          <cell r="LL1" t="str">
            <v>年代0-4_男</v>
          </cell>
          <cell r="LM1" t="str">
            <v>年代5-9_男</v>
          </cell>
          <cell r="LN1" t="str">
            <v>年代10-14_男</v>
          </cell>
          <cell r="LO1" t="str">
            <v>年代15-19_男</v>
          </cell>
          <cell r="LP1" t="str">
            <v>年代20-24_男</v>
          </cell>
          <cell r="LQ1" t="str">
            <v>年代25-29_男</v>
          </cell>
          <cell r="LR1" t="str">
            <v>年代30-34_男</v>
          </cell>
          <cell r="LS1" t="str">
            <v>年代35-39_男</v>
          </cell>
          <cell r="LT1" t="str">
            <v>年代40-44_男</v>
          </cell>
          <cell r="LU1" t="str">
            <v>年代45-49_男</v>
          </cell>
          <cell r="LV1" t="str">
            <v>年代50-54_男</v>
          </cell>
          <cell r="LW1" t="str">
            <v>年代55-59_男</v>
          </cell>
          <cell r="LX1" t="str">
            <v>年代60-64_男</v>
          </cell>
          <cell r="LY1" t="str">
            <v>年代65-69_男</v>
          </cell>
          <cell r="LZ1" t="str">
            <v>年代70-74_男</v>
          </cell>
          <cell r="MA1" t="str">
            <v>年代75-79_男</v>
          </cell>
          <cell r="MB1" t="str">
            <v>年代80-84_男</v>
          </cell>
          <cell r="MC1" t="str">
            <v>年代85-89_男</v>
          </cell>
          <cell r="MD1" t="str">
            <v>年代90-94_男</v>
          </cell>
          <cell r="ME1" t="str">
            <v>年代95-99_男</v>
          </cell>
          <cell r="MF1" t="str">
            <v>年代100-104_男</v>
          </cell>
          <cell r="MG1" t="str">
            <v>年代0-4_女</v>
          </cell>
          <cell r="MH1" t="str">
            <v>年代5-9_女</v>
          </cell>
          <cell r="MI1" t="str">
            <v>年代10-14_女</v>
          </cell>
          <cell r="MJ1" t="str">
            <v>年代15-19_女</v>
          </cell>
          <cell r="MK1" t="str">
            <v>年代20-24_女</v>
          </cell>
          <cell r="ML1" t="str">
            <v>年代25-29_女</v>
          </cell>
          <cell r="MM1" t="str">
            <v>年代30-34_女</v>
          </cell>
          <cell r="MN1" t="str">
            <v>年代35-39_女</v>
          </cell>
          <cell r="MO1" t="str">
            <v>年代40-44_女</v>
          </cell>
          <cell r="MP1" t="str">
            <v>年代45-49_女</v>
          </cell>
          <cell r="MQ1" t="str">
            <v>年代50-54_女</v>
          </cell>
          <cell r="MR1" t="str">
            <v>年代55-59_女</v>
          </cell>
          <cell r="MS1" t="str">
            <v>年代60-64_女</v>
          </cell>
          <cell r="MT1" t="str">
            <v>年代65-69_女</v>
          </cell>
          <cell r="MU1" t="str">
            <v>年代70-74_女</v>
          </cell>
          <cell r="MV1" t="str">
            <v>年代75-79_女</v>
          </cell>
          <cell r="MW1" t="str">
            <v>年代80-84_女</v>
          </cell>
          <cell r="MX1" t="str">
            <v>年代85-89_女</v>
          </cell>
          <cell r="MY1" t="str">
            <v>年代90-94_女</v>
          </cell>
          <cell r="MZ1" t="str">
            <v>年代95-99_女</v>
          </cell>
          <cell r="NA1" t="str">
            <v>年代100-104_女</v>
          </cell>
          <cell r="NB1" t="str">
            <v>年代105-109_女</v>
          </cell>
          <cell r="NC1" t="str">
            <v>年代0-4_全体</v>
          </cell>
          <cell r="ND1" t="str">
            <v>年代5-9_全体</v>
          </cell>
          <cell r="NE1" t="str">
            <v>年代10-14_全体</v>
          </cell>
          <cell r="NF1" t="str">
            <v>年代15-19_全体</v>
          </cell>
          <cell r="NG1" t="str">
            <v>年代20-24_全体</v>
          </cell>
          <cell r="NH1" t="str">
            <v>年代25-29_全体</v>
          </cell>
          <cell r="NI1" t="str">
            <v>年代30-34_全体</v>
          </cell>
          <cell r="NJ1" t="str">
            <v>年代35-39_全体</v>
          </cell>
          <cell r="NK1" t="str">
            <v>年代40-44_全体</v>
          </cell>
          <cell r="NL1" t="str">
            <v>年代45-49_全体</v>
          </cell>
          <cell r="NM1" t="str">
            <v>年代50-54_全体</v>
          </cell>
          <cell r="NN1" t="str">
            <v>年代55-59_全体</v>
          </cell>
          <cell r="NO1" t="str">
            <v>年代60-64_全体</v>
          </cell>
          <cell r="NP1" t="str">
            <v>年代65-69_全体</v>
          </cell>
          <cell r="NQ1" t="str">
            <v>年代70-74_全体</v>
          </cell>
          <cell r="NR1" t="str">
            <v>年代75-79_全体</v>
          </cell>
          <cell r="NS1" t="str">
            <v>年代80-84_全体</v>
          </cell>
          <cell r="NT1" t="str">
            <v>年代85-89_全体</v>
          </cell>
          <cell r="NU1" t="str">
            <v>年代90-94_全体</v>
          </cell>
          <cell r="NV1" t="str">
            <v>年代95-99_全体</v>
          </cell>
          <cell r="NW1" t="str">
            <v>年代100-104_全体</v>
          </cell>
          <cell r="NX1" t="str">
            <v>年代105-109_全体</v>
          </cell>
          <cell r="NY1" t="str">
            <v>65以上_男</v>
          </cell>
          <cell r="NZ1" t="str">
            <v>65以上_女</v>
          </cell>
          <cell r="OA1" t="str">
            <v>65以上_全体</v>
          </cell>
          <cell r="OB1" t="str">
            <v>65以上_割合</v>
          </cell>
          <cell r="OC1" t="str">
            <v>合計_男</v>
          </cell>
          <cell r="OD1" t="str">
            <v>合計_女</v>
          </cell>
          <cell r="OE1" t="str">
            <v>合計_総合計</v>
          </cell>
          <cell r="OF1" t="str">
            <v>世帯数</v>
          </cell>
          <cell r="OG1" t="str">
            <v>平均_男</v>
          </cell>
          <cell r="OH1" t="str">
            <v>平均_女</v>
          </cell>
          <cell r="OI1" t="str">
            <v>平均_全体</v>
          </cell>
          <cell r="OJ1" t="str">
            <v>作成日</v>
          </cell>
          <cell r="OK1" t="str">
            <v>集計対象</v>
          </cell>
        </row>
        <row r="2">
          <cell r="A2" t="str">
            <v>大阪府摂津市</v>
          </cell>
          <cell r="B2" t="str">
            <v>全体</v>
          </cell>
          <cell r="C2" t="str">
            <v>平成31年 1月31日</v>
          </cell>
          <cell r="D2">
            <v>424</v>
          </cell>
          <cell r="E2">
            <v>405</v>
          </cell>
          <cell r="F2">
            <v>407</v>
          </cell>
          <cell r="G2">
            <v>380</v>
          </cell>
          <cell r="H2">
            <v>366</v>
          </cell>
          <cell r="I2">
            <v>385</v>
          </cell>
          <cell r="J2">
            <v>364</v>
          </cell>
          <cell r="K2">
            <v>352</v>
          </cell>
          <cell r="L2">
            <v>381</v>
          </cell>
          <cell r="M2">
            <v>395</v>
          </cell>
          <cell r="N2">
            <v>330</v>
          </cell>
          <cell r="O2">
            <v>373</v>
          </cell>
          <cell r="P2">
            <v>415</v>
          </cell>
          <cell r="Q2">
            <v>368</v>
          </cell>
          <cell r="R2">
            <v>405</v>
          </cell>
          <cell r="S2">
            <v>383</v>
          </cell>
          <cell r="T2">
            <v>386</v>
          </cell>
          <cell r="U2">
            <v>445</v>
          </cell>
          <cell r="V2">
            <v>430</v>
          </cell>
          <cell r="W2">
            <v>460</v>
          </cell>
          <cell r="X2">
            <v>459</v>
          </cell>
          <cell r="Y2">
            <v>437</v>
          </cell>
          <cell r="Z2">
            <v>483</v>
          </cell>
          <cell r="AA2">
            <v>498</v>
          </cell>
          <cell r="AB2">
            <v>485</v>
          </cell>
          <cell r="AC2">
            <v>515</v>
          </cell>
          <cell r="AD2">
            <v>494</v>
          </cell>
          <cell r="AE2">
            <v>500</v>
          </cell>
          <cell r="AF2">
            <v>515</v>
          </cell>
          <cell r="AG2">
            <v>502</v>
          </cell>
          <cell r="AH2">
            <v>592</v>
          </cell>
          <cell r="AI2">
            <v>519</v>
          </cell>
          <cell r="AJ2">
            <v>520</v>
          </cell>
          <cell r="AK2">
            <v>550</v>
          </cell>
          <cell r="AL2">
            <v>575</v>
          </cell>
          <cell r="AM2">
            <v>537</v>
          </cell>
          <cell r="AN2">
            <v>585</v>
          </cell>
          <cell r="AO2">
            <v>546</v>
          </cell>
          <cell r="AP2">
            <v>584</v>
          </cell>
          <cell r="AQ2">
            <v>565</v>
          </cell>
          <cell r="AR2">
            <v>599</v>
          </cell>
          <cell r="AS2">
            <v>656</v>
          </cell>
          <cell r="AT2">
            <v>641</v>
          </cell>
          <cell r="AU2">
            <v>713</v>
          </cell>
          <cell r="AV2">
            <v>768</v>
          </cell>
          <cell r="AW2">
            <v>885</v>
          </cell>
          <cell r="AX2">
            <v>825</v>
          </cell>
          <cell r="AY2">
            <v>789</v>
          </cell>
          <cell r="AZ2">
            <v>755</v>
          </cell>
          <cell r="BA2">
            <v>730</v>
          </cell>
          <cell r="BB2">
            <v>682</v>
          </cell>
          <cell r="BC2">
            <v>698</v>
          </cell>
          <cell r="BD2">
            <v>509</v>
          </cell>
          <cell r="BE2">
            <v>571</v>
          </cell>
          <cell r="BF2">
            <v>523</v>
          </cell>
          <cell r="BG2">
            <v>483</v>
          </cell>
          <cell r="BH2">
            <v>482</v>
          </cell>
          <cell r="BI2">
            <v>445</v>
          </cell>
          <cell r="BJ2">
            <v>430</v>
          </cell>
          <cell r="BK2">
            <v>402</v>
          </cell>
          <cell r="BL2">
            <v>459</v>
          </cell>
          <cell r="BM2">
            <v>391</v>
          </cell>
          <cell r="BN2">
            <v>405</v>
          </cell>
          <cell r="BO2">
            <v>422</v>
          </cell>
          <cell r="BP2">
            <v>423</v>
          </cell>
          <cell r="BQ2">
            <v>413</v>
          </cell>
          <cell r="BR2">
            <v>484</v>
          </cell>
          <cell r="BS2">
            <v>514</v>
          </cell>
          <cell r="BT2">
            <v>575</v>
          </cell>
          <cell r="BU2">
            <v>652</v>
          </cell>
          <cell r="BV2">
            <v>668</v>
          </cell>
          <cell r="BW2">
            <v>690</v>
          </cell>
          <cell r="BX2">
            <v>458</v>
          </cell>
          <cell r="BY2">
            <v>375</v>
          </cell>
          <cell r="BZ2">
            <v>495</v>
          </cell>
          <cell r="CA2">
            <v>534</v>
          </cell>
          <cell r="CB2">
            <v>487</v>
          </cell>
          <cell r="CC2">
            <v>525</v>
          </cell>
          <cell r="CD2">
            <v>435</v>
          </cell>
          <cell r="CE2">
            <v>367</v>
          </cell>
          <cell r="CF2">
            <v>320</v>
          </cell>
          <cell r="CG2">
            <v>335</v>
          </cell>
          <cell r="CH2">
            <v>279</v>
          </cell>
          <cell r="CI2">
            <v>255</v>
          </cell>
          <cell r="CJ2">
            <v>177</v>
          </cell>
          <cell r="CK2">
            <v>139</v>
          </cell>
          <cell r="CL2">
            <v>152</v>
          </cell>
          <cell r="CM2">
            <v>109</v>
          </cell>
          <cell r="CN2">
            <v>86</v>
          </cell>
          <cell r="CO2">
            <v>57</v>
          </cell>
          <cell r="CP2">
            <v>51</v>
          </cell>
          <cell r="CQ2">
            <v>36</v>
          </cell>
          <cell r="CR2">
            <v>31</v>
          </cell>
          <cell r="CS2">
            <v>29</v>
          </cell>
          <cell r="CT2">
            <v>14</v>
          </cell>
          <cell r="CU2">
            <v>9</v>
          </cell>
          <cell r="CV2">
            <v>7</v>
          </cell>
          <cell r="CW2">
            <v>5</v>
          </cell>
          <cell r="CX2">
            <v>4</v>
          </cell>
          <cell r="CY2">
            <v>0</v>
          </cell>
          <cell r="CZ2">
            <v>1</v>
          </cell>
          <cell r="DA2">
            <v>0</v>
          </cell>
          <cell r="DB2">
            <v>1</v>
          </cell>
          <cell r="DC2">
            <v>1</v>
          </cell>
          <cell r="DD2">
            <v>0</v>
          </cell>
          <cell r="DE2">
            <v>0</v>
          </cell>
          <cell r="DF2">
            <v>390</v>
          </cell>
          <cell r="DG2">
            <v>360</v>
          </cell>
          <cell r="DH2">
            <v>387</v>
          </cell>
          <cell r="DI2">
            <v>360</v>
          </cell>
          <cell r="DJ2">
            <v>392</v>
          </cell>
          <cell r="DK2">
            <v>324</v>
          </cell>
          <cell r="DL2">
            <v>350</v>
          </cell>
          <cell r="DM2">
            <v>373</v>
          </cell>
          <cell r="DN2">
            <v>365</v>
          </cell>
          <cell r="DO2">
            <v>357</v>
          </cell>
          <cell r="DP2">
            <v>362</v>
          </cell>
          <cell r="DQ2">
            <v>381</v>
          </cell>
          <cell r="DR2">
            <v>356</v>
          </cell>
          <cell r="DS2">
            <v>373</v>
          </cell>
          <cell r="DT2">
            <v>356</v>
          </cell>
          <cell r="DU2">
            <v>361</v>
          </cell>
          <cell r="DV2">
            <v>386</v>
          </cell>
          <cell r="DW2">
            <v>397</v>
          </cell>
          <cell r="DX2">
            <v>390</v>
          </cell>
          <cell r="DY2">
            <v>434</v>
          </cell>
          <cell r="DZ2">
            <v>420</v>
          </cell>
          <cell r="EA2">
            <v>417</v>
          </cell>
          <cell r="EB2">
            <v>450</v>
          </cell>
          <cell r="EC2">
            <v>423</v>
          </cell>
          <cell r="ED2">
            <v>417</v>
          </cell>
          <cell r="EE2">
            <v>439</v>
          </cell>
          <cell r="EF2">
            <v>476</v>
          </cell>
          <cell r="EG2">
            <v>456</v>
          </cell>
          <cell r="EH2">
            <v>546</v>
          </cell>
          <cell r="EI2">
            <v>486</v>
          </cell>
          <cell r="EJ2">
            <v>539</v>
          </cell>
          <cell r="EK2">
            <v>508</v>
          </cell>
          <cell r="EL2">
            <v>523</v>
          </cell>
          <cell r="EM2">
            <v>535</v>
          </cell>
          <cell r="EN2">
            <v>490</v>
          </cell>
          <cell r="EO2">
            <v>551</v>
          </cell>
          <cell r="EP2">
            <v>561</v>
          </cell>
          <cell r="EQ2">
            <v>531</v>
          </cell>
          <cell r="ER2">
            <v>542</v>
          </cell>
          <cell r="ES2">
            <v>543</v>
          </cell>
          <cell r="ET2">
            <v>559</v>
          </cell>
          <cell r="EU2">
            <v>593</v>
          </cell>
          <cell r="EV2">
            <v>597</v>
          </cell>
          <cell r="EW2">
            <v>656</v>
          </cell>
          <cell r="EX2">
            <v>712</v>
          </cell>
          <cell r="EY2">
            <v>755</v>
          </cell>
          <cell r="EZ2">
            <v>768</v>
          </cell>
          <cell r="FA2">
            <v>734</v>
          </cell>
          <cell r="FB2">
            <v>714</v>
          </cell>
          <cell r="FC2">
            <v>613</v>
          </cell>
          <cell r="FD2">
            <v>626</v>
          </cell>
          <cell r="FE2">
            <v>615</v>
          </cell>
          <cell r="FF2">
            <v>412</v>
          </cell>
          <cell r="FG2">
            <v>518</v>
          </cell>
          <cell r="FH2">
            <v>486</v>
          </cell>
          <cell r="FI2">
            <v>467</v>
          </cell>
          <cell r="FJ2">
            <v>436</v>
          </cell>
          <cell r="FK2">
            <v>418</v>
          </cell>
          <cell r="FL2">
            <v>398</v>
          </cell>
          <cell r="FM2">
            <v>392</v>
          </cell>
          <cell r="FN2">
            <v>413</v>
          </cell>
          <cell r="FO2">
            <v>396</v>
          </cell>
          <cell r="FP2">
            <v>406</v>
          </cell>
          <cell r="FQ2">
            <v>427</v>
          </cell>
          <cell r="FR2">
            <v>454</v>
          </cell>
          <cell r="FS2">
            <v>477</v>
          </cell>
          <cell r="FT2">
            <v>519</v>
          </cell>
          <cell r="FU2">
            <v>569</v>
          </cell>
          <cell r="FV2">
            <v>638</v>
          </cell>
          <cell r="FW2">
            <v>752</v>
          </cell>
          <cell r="FX2">
            <v>770</v>
          </cell>
          <cell r="FY2">
            <v>782</v>
          </cell>
          <cell r="FZ2">
            <v>530</v>
          </cell>
          <cell r="GA2">
            <v>480</v>
          </cell>
          <cell r="GB2">
            <v>584</v>
          </cell>
          <cell r="GC2">
            <v>635</v>
          </cell>
          <cell r="GD2">
            <v>624</v>
          </cell>
          <cell r="GE2">
            <v>611</v>
          </cell>
          <cell r="GF2">
            <v>551</v>
          </cell>
          <cell r="GG2">
            <v>389</v>
          </cell>
          <cell r="GH2">
            <v>374</v>
          </cell>
          <cell r="GI2">
            <v>380</v>
          </cell>
          <cell r="GJ2">
            <v>335</v>
          </cell>
          <cell r="GK2">
            <v>318</v>
          </cell>
          <cell r="GL2">
            <v>273</v>
          </cell>
          <cell r="GM2">
            <v>276</v>
          </cell>
          <cell r="GN2">
            <v>220</v>
          </cell>
          <cell r="GO2">
            <v>182</v>
          </cell>
          <cell r="GP2">
            <v>149</v>
          </cell>
          <cell r="GQ2">
            <v>168</v>
          </cell>
          <cell r="GR2">
            <v>139</v>
          </cell>
          <cell r="GS2">
            <v>104</v>
          </cell>
          <cell r="GT2">
            <v>90</v>
          </cell>
          <cell r="GU2">
            <v>69</v>
          </cell>
          <cell r="GV2">
            <v>73</v>
          </cell>
          <cell r="GW2">
            <v>49</v>
          </cell>
          <cell r="GX2">
            <v>32</v>
          </cell>
          <cell r="GY2">
            <v>22</v>
          </cell>
          <cell r="GZ2">
            <v>29</v>
          </cell>
          <cell r="HA2">
            <v>15</v>
          </cell>
          <cell r="HB2">
            <v>5</v>
          </cell>
          <cell r="HC2">
            <v>5</v>
          </cell>
          <cell r="HD2">
            <v>3</v>
          </cell>
          <cell r="HE2">
            <v>4</v>
          </cell>
          <cell r="HF2">
            <v>1</v>
          </cell>
          <cell r="HG2">
            <v>1</v>
          </cell>
          <cell r="HH2">
            <v>1</v>
          </cell>
          <cell r="HI2">
            <v>814</v>
          </cell>
          <cell r="HJ2">
            <v>765</v>
          </cell>
          <cell r="HK2">
            <v>794</v>
          </cell>
          <cell r="HL2">
            <v>740</v>
          </cell>
          <cell r="HM2">
            <v>758</v>
          </cell>
          <cell r="HN2">
            <v>709</v>
          </cell>
          <cell r="HO2">
            <v>714</v>
          </cell>
          <cell r="HP2">
            <v>725</v>
          </cell>
          <cell r="HQ2">
            <v>746</v>
          </cell>
          <cell r="HR2">
            <v>752</v>
          </cell>
          <cell r="HS2">
            <v>692</v>
          </cell>
          <cell r="HT2">
            <v>754</v>
          </cell>
          <cell r="HU2">
            <v>771</v>
          </cell>
          <cell r="HV2">
            <v>741</v>
          </cell>
          <cell r="HW2">
            <v>761</v>
          </cell>
          <cell r="HX2">
            <v>744</v>
          </cell>
          <cell r="HY2">
            <v>772</v>
          </cell>
          <cell r="HZ2">
            <v>842</v>
          </cell>
          <cell r="IA2">
            <v>820</v>
          </cell>
          <cell r="IB2">
            <v>894</v>
          </cell>
          <cell r="IC2">
            <v>879</v>
          </cell>
          <cell r="ID2">
            <v>854</v>
          </cell>
          <cell r="IE2">
            <v>933</v>
          </cell>
          <cell r="IF2">
            <v>921</v>
          </cell>
          <cell r="IG2">
            <v>902</v>
          </cell>
          <cell r="IH2">
            <v>954</v>
          </cell>
          <cell r="II2">
            <v>970</v>
          </cell>
          <cell r="IJ2">
            <v>956</v>
          </cell>
          <cell r="IK2">
            <v>1061</v>
          </cell>
          <cell r="IL2">
            <v>988</v>
          </cell>
          <cell r="IM2">
            <v>1131</v>
          </cell>
          <cell r="IN2">
            <v>1027</v>
          </cell>
          <cell r="IO2">
            <v>1043</v>
          </cell>
          <cell r="IP2">
            <v>1085</v>
          </cell>
          <cell r="IQ2">
            <v>1065</v>
          </cell>
          <cell r="IR2">
            <v>1088</v>
          </cell>
          <cell r="IS2">
            <v>1146</v>
          </cell>
          <cell r="IT2">
            <v>1077</v>
          </cell>
          <cell r="IU2">
            <v>1126</v>
          </cell>
          <cell r="IV2">
            <v>1108</v>
          </cell>
          <cell r="IW2">
            <v>1158</v>
          </cell>
          <cell r="IX2">
            <v>1249</v>
          </cell>
          <cell r="IY2">
            <v>1238</v>
          </cell>
          <cell r="IZ2">
            <v>1369</v>
          </cell>
          <cell r="JA2">
            <v>1480</v>
          </cell>
          <cell r="JB2">
            <v>1640</v>
          </cell>
          <cell r="JC2">
            <v>1593</v>
          </cell>
          <cell r="JD2">
            <v>1523</v>
          </cell>
          <cell r="JE2">
            <v>1469</v>
          </cell>
          <cell r="JF2">
            <v>1343</v>
          </cell>
          <cell r="JG2">
            <v>1308</v>
          </cell>
          <cell r="JH2">
            <v>1313</v>
          </cell>
          <cell r="JI2">
            <v>921</v>
          </cell>
          <cell r="JJ2">
            <v>1089</v>
          </cell>
          <cell r="JK2">
            <v>1009</v>
          </cell>
          <cell r="JL2">
            <v>950</v>
          </cell>
          <cell r="JM2">
            <v>918</v>
          </cell>
          <cell r="JN2">
            <v>863</v>
          </cell>
          <cell r="JO2">
            <v>828</v>
          </cell>
          <cell r="JP2">
            <v>794</v>
          </cell>
          <cell r="JQ2">
            <v>872</v>
          </cell>
          <cell r="JR2">
            <v>787</v>
          </cell>
          <cell r="JS2">
            <v>811</v>
          </cell>
          <cell r="JT2">
            <v>849</v>
          </cell>
          <cell r="JU2">
            <v>877</v>
          </cell>
          <cell r="JV2">
            <v>890</v>
          </cell>
          <cell r="JW2">
            <v>1003</v>
          </cell>
          <cell r="JX2">
            <v>1083</v>
          </cell>
          <cell r="JY2">
            <v>1213</v>
          </cell>
          <cell r="JZ2">
            <v>1404</v>
          </cell>
          <cell r="KA2">
            <v>1438</v>
          </cell>
          <cell r="KB2">
            <v>1472</v>
          </cell>
          <cell r="KC2">
            <v>988</v>
          </cell>
          <cell r="KD2">
            <v>855</v>
          </cell>
          <cell r="KE2">
            <v>1079</v>
          </cell>
          <cell r="KF2">
            <v>1169</v>
          </cell>
          <cell r="KG2">
            <v>1111</v>
          </cell>
          <cell r="KH2">
            <v>1136</v>
          </cell>
          <cell r="KI2">
            <v>986</v>
          </cell>
          <cell r="KJ2">
            <v>756</v>
          </cell>
          <cell r="KK2">
            <v>694</v>
          </cell>
          <cell r="KL2">
            <v>715</v>
          </cell>
          <cell r="KM2">
            <v>614</v>
          </cell>
          <cell r="KN2">
            <v>573</v>
          </cell>
          <cell r="KO2">
            <v>450</v>
          </cell>
          <cell r="KP2">
            <v>415</v>
          </cell>
          <cell r="KQ2">
            <v>372</v>
          </cell>
          <cell r="KR2">
            <v>291</v>
          </cell>
          <cell r="KS2">
            <v>235</v>
          </cell>
          <cell r="KT2">
            <v>225</v>
          </cell>
          <cell r="KU2">
            <v>190</v>
          </cell>
          <cell r="KV2">
            <v>140</v>
          </cell>
          <cell r="KW2">
            <v>121</v>
          </cell>
          <cell r="KX2">
            <v>98</v>
          </cell>
          <cell r="KY2">
            <v>87</v>
          </cell>
          <cell r="KZ2">
            <v>58</v>
          </cell>
          <cell r="LA2">
            <v>39</v>
          </cell>
          <cell r="LB2">
            <v>27</v>
          </cell>
          <cell r="LC2">
            <v>33</v>
          </cell>
          <cell r="LD2">
            <v>15</v>
          </cell>
          <cell r="LE2">
            <v>6</v>
          </cell>
          <cell r="LF2">
            <v>5</v>
          </cell>
          <cell r="LG2">
            <v>4</v>
          </cell>
          <cell r="LH2">
            <v>5</v>
          </cell>
          <cell r="LI2">
            <v>1</v>
          </cell>
          <cell r="LJ2">
            <v>1</v>
          </cell>
          <cell r="LK2">
            <v>1</v>
          </cell>
          <cell r="LL2">
            <v>1982</v>
          </cell>
          <cell r="LM2">
            <v>1877</v>
          </cell>
          <cell r="LN2">
            <v>1891</v>
          </cell>
          <cell r="LO2">
            <v>2104</v>
          </cell>
          <cell r="LP2">
            <v>2362</v>
          </cell>
          <cell r="LQ2">
            <v>2526</v>
          </cell>
          <cell r="LR2">
            <v>2756</v>
          </cell>
          <cell r="LS2">
            <v>2817</v>
          </cell>
          <cell r="LT2">
            <v>3377</v>
          </cell>
          <cell r="LU2">
            <v>3984</v>
          </cell>
          <cell r="LV2">
            <v>2983</v>
          </cell>
          <cell r="LW2">
            <v>2242</v>
          </cell>
          <cell r="LX2">
            <v>2100</v>
          </cell>
          <cell r="LY2">
            <v>2638</v>
          </cell>
          <cell r="LZ2">
            <v>2686</v>
          </cell>
          <cell r="MA2">
            <v>2348</v>
          </cell>
          <cell r="MB2">
            <v>1366</v>
          </cell>
          <cell r="MC2">
            <v>543</v>
          </cell>
          <cell r="MD2">
            <v>161</v>
          </cell>
          <cell r="ME2">
            <v>25</v>
          </cell>
          <cell r="MF2">
            <v>3</v>
          </cell>
          <cell r="MG2">
            <v>1889</v>
          </cell>
          <cell r="MH2">
            <v>1769</v>
          </cell>
          <cell r="MI2">
            <v>1828</v>
          </cell>
          <cell r="MJ2">
            <v>1968</v>
          </cell>
          <cell r="MK2">
            <v>2127</v>
          </cell>
          <cell r="ML2">
            <v>2403</v>
          </cell>
          <cell r="MM2">
            <v>2595</v>
          </cell>
          <cell r="MN2">
            <v>2728</v>
          </cell>
          <cell r="MO2">
            <v>3117</v>
          </cell>
          <cell r="MP2">
            <v>3584</v>
          </cell>
          <cell r="MQ2">
            <v>2657</v>
          </cell>
          <cell r="MR2">
            <v>2111</v>
          </cell>
          <cell r="MS2">
            <v>2096</v>
          </cell>
          <cell r="MT2">
            <v>2955</v>
          </cell>
          <cell r="MU2">
            <v>3146</v>
          </cell>
          <cell r="MV2">
            <v>2810</v>
          </cell>
          <cell r="MW2">
            <v>1680</v>
          </cell>
          <cell r="MX2">
            <v>995</v>
          </cell>
          <cell r="MY2">
            <v>475</v>
          </cell>
          <cell r="MZ2">
            <v>147</v>
          </cell>
          <cell r="NA2">
            <v>18</v>
          </cell>
          <cell r="NB2">
            <v>2</v>
          </cell>
          <cell r="NC2">
            <v>3871</v>
          </cell>
          <cell r="ND2">
            <v>3646</v>
          </cell>
          <cell r="NE2">
            <v>3719</v>
          </cell>
          <cell r="NF2">
            <v>4072</v>
          </cell>
          <cell r="NG2">
            <v>4489</v>
          </cell>
          <cell r="NH2">
            <v>4929</v>
          </cell>
          <cell r="NI2">
            <v>5351</v>
          </cell>
          <cell r="NJ2">
            <v>5545</v>
          </cell>
          <cell r="NK2">
            <v>6494</v>
          </cell>
          <cell r="NL2">
            <v>7568</v>
          </cell>
          <cell r="NM2">
            <v>5640</v>
          </cell>
          <cell r="NN2">
            <v>4353</v>
          </cell>
          <cell r="NO2">
            <v>4196</v>
          </cell>
          <cell r="NP2">
            <v>5593</v>
          </cell>
          <cell r="NQ2">
            <v>5832</v>
          </cell>
          <cell r="NR2">
            <v>5158</v>
          </cell>
          <cell r="NS2">
            <v>3046</v>
          </cell>
          <cell r="NT2">
            <v>1538</v>
          </cell>
          <cell r="NU2">
            <v>636</v>
          </cell>
          <cell r="NV2">
            <v>172</v>
          </cell>
          <cell r="NW2">
            <v>21</v>
          </cell>
          <cell r="NX2">
            <v>2</v>
          </cell>
          <cell r="NY2">
            <v>9770</v>
          </cell>
          <cell r="NZ2">
            <v>12228</v>
          </cell>
          <cell r="OA2">
            <v>21998</v>
          </cell>
          <cell r="OB2">
            <v>25.6</v>
          </cell>
          <cell r="OC2">
            <v>42771</v>
          </cell>
          <cell r="OD2">
            <v>43100</v>
          </cell>
          <cell r="OE2">
            <v>85871</v>
          </cell>
          <cell r="OF2">
            <v>40571</v>
          </cell>
          <cell r="OG2">
            <v>43</v>
          </cell>
          <cell r="OH2">
            <v>46</v>
          </cell>
          <cell r="OI2">
            <v>45</v>
          </cell>
          <cell r="OJ2" t="str">
            <v>平成31年 2月 4日</v>
          </cell>
          <cell r="OK2" t="str">
            <v>※外国人を含めた集計です。</v>
          </cell>
        </row>
      </sheetData>
      <sheetData sheetId="2" refreshError="1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操作方法"/>
      <sheetName val="データ貼り付けシート"/>
      <sheetName val="印刷用シート"/>
      <sheetName val="ホームページ用シート"/>
    </sheetNames>
    <sheetDataSet>
      <sheetData sheetId="0"/>
      <sheetData sheetId="1">
        <row r="1">
          <cell r="A1" t="str">
            <v>自治体名</v>
          </cell>
          <cell r="B1" t="str">
            <v>集計区分</v>
          </cell>
          <cell r="C1" t="str">
            <v>基準日</v>
          </cell>
          <cell r="D1" t="str">
            <v>0_男</v>
          </cell>
          <cell r="E1" t="str">
            <v>1_男</v>
          </cell>
          <cell r="F1" t="str">
            <v>2_男</v>
          </cell>
          <cell r="G1" t="str">
            <v>3_男</v>
          </cell>
          <cell r="H1" t="str">
            <v>4_男</v>
          </cell>
          <cell r="I1" t="str">
            <v>5_男</v>
          </cell>
          <cell r="J1" t="str">
            <v>6_男</v>
          </cell>
          <cell r="K1" t="str">
            <v>7_男</v>
          </cell>
          <cell r="L1" t="str">
            <v>8_男</v>
          </cell>
          <cell r="M1" t="str">
            <v>9_男</v>
          </cell>
          <cell r="N1" t="str">
            <v>10_男</v>
          </cell>
          <cell r="O1" t="str">
            <v>11_男</v>
          </cell>
          <cell r="P1" t="str">
            <v>12_男</v>
          </cell>
          <cell r="Q1" t="str">
            <v>13_男</v>
          </cell>
          <cell r="R1" t="str">
            <v>14_男</v>
          </cell>
          <cell r="S1" t="str">
            <v>15_男</v>
          </cell>
          <cell r="T1" t="str">
            <v>16_男</v>
          </cell>
          <cell r="U1" t="str">
            <v>17_男</v>
          </cell>
          <cell r="V1" t="str">
            <v>18_男</v>
          </cell>
          <cell r="W1" t="str">
            <v>19_男</v>
          </cell>
          <cell r="X1" t="str">
            <v>20_男</v>
          </cell>
          <cell r="Y1" t="str">
            <v>21_男</v>
          </cell>
          <cell r="Z1" t="str">
            <v>22_男</v>
          </cell>
          <cell r="AA1" t="str">
            <v>23_男</v>
          </cell>
          <cell r="AB1" t="str">
            <v>24_男</v>
          </cell>
          <cell r="AC1" t="str">
            <v>25_男</v>
          </cell>
          <cell r="AD1" t="str">
            <v>26_男</v>
          </cell>
          <cell r="AE1" t="str">
            <v>27_男</v>
          </cell>
          <cell r="AF1" t="str">
            <v>28_男</v>
          </cell>
          <cell r="AG1" t="str">
            <v>29_男</v>
          </cell>
          <cell r="AH1" t="str">
            <v>30_男</v>
          </cell>
          <cell r="AI1" t="str">
            <v>31_男</v>
          </cell>
          <cell r="AJ1" t="str">
            <v>32_男</v>
          </cell>
          <cell r="AK1" t="str">
            <v>33_男</v>
          </cell>
          <cell r="AL1" t="str">
            <v>34_男</v>
          </cell>
          <cell r="AM1" t="str">
            <v>35_男</v>
          </cell>
          <cell r="AN1" t="str">
            <v>36_男</v>
          </cell>
          <cell r="AO1" t="str">
            <v>37_男</v>
          </cell>
          <cell r="AP1" t="str">
            <v>38_男</v>
          </cell>
          <cell r="AQ1" t="str">
            <v>39_男</v>
          </cell>
          <cell r="AR1" t="str">
            <v>40_男</v>
          </cell>
          <cell r="AS1" t="str">
            <v>41_男</v>
          </cell>
          <cell r="AT1" t="str">
            <v>42_男</v>
          </cell>
          <cell r="AU1" t="str">
            <v>43_男</v>
          </cell>
          <cell r="AV1" t="str">
            <v>44_男</v>
          </cell>
          <cell r="AW1" t="str">
            <v>45_男</v>
          </cell>
          <cell r="AX1" t="str">
            <v>46_男</v>
          </cell>
          <cell r="AY1" t="str">
            <v>47_男</v>
          </cell>
          <cell r="AZ1" t="str">
            <v>48_男</v>
          </cell>
          <cell r="BA1" t="str">
            <v>49_男</v>
          </cell>
          <cell r="BB1" t="str">
            <v>50_男</v>
          </cell>
          <cell r="BC1" t="str">
            <v>51_男</v>
          </cell>
          <cell r="BD1" t="str">
            <v>52_男</v>
          </cell>
          <cell r="BE1" t="str">
            <v>53_男</v>
          </cell>
          <cell r="BF1" t="str">
            <v>54_男</v>
          </cell>
          <cell r="BG1" t="str">
            <v>55_男</v>
          </cell>
          <cell r="BH1" t="str">
            <v>56_男</v>
          </cell>
          <cell r="BI1" t="str">
            <v>57_男</v>
          </cell>
          <cell r="BJ1" t="str">
            <v>58_男</v>
          </cell>
          <cell r="BK1" t="str">
            <v>59_男</v>
          </cell>
          <cell r="BL1" t="str">
            <v>60_男</v>
          </cell>
          <cell r="BM1" t="str">
            <v>61_男</v>
          </cell>
          <cell r="BN1" t="str">
            <v>62_男</v>
          </cell>
          <cell r="BO1" t="str">
            <v>63_男</v>
          </cell>
          <cell r="BP1" t="str">
            <v>64_男</v>
          </cell>
          <cell r="BQ1" t="str">
            <v>65_男</v>
          </cell>
          <cell r="BR1" t="str">
            <v>66_男</v>
          </cell>
          <cell r="BS1" t="str">
            <v>67_男</v>
          </cell>
          <cell r="BT1" t="str">
            <v>68_男</v>
          </cell>
          <cell r="BU1" t="str">
            <v>69_男</v>
          </cell>
          <cell r="BV1" t="str">
            <v>70_男</v>
          </cell>
          <cell r="BW1" t="str">
            <v>71_男</v>
          </cell>
          <cell r="BX1" t="str">
            <v>72_男</v>
          </cell>
          <cell r="BY1" t="str">
            <v>73_男</v>
          </cell>
          <cell r="BZ1" t="str">
            <v>74_男</v>
          </cell>
          <cell r="CA1" t="str">
            <v>75_男</v>
          </cell>
          <cell r="CB1" t="str">
            <v>76_男</v>
          </cell>
          <cell r="CC1" t="str">
            <v>77_男</v>
          </cell>
          <cell r="CD1" t="str">
            <v>78_男</v>
          </cell>
          <cell r="CE1" t="str">
            <v>79_男</v>
          </cell>
          <cell r="CF1" t="str">
            <v>80_男</v>
          </cell>
          <cell r="CG1" t="str">
            <v>81_男</v>
          </cell>
          <cell r="CH1" t="str">
            <v>82_男</v>
          </cell>
          <cell r="CI1" t="str">
            <v>83_男</v>
          </cell>
          <cell r="CJ1" t="str">
            <v>84_男</v>
          </cell>
          <cell r="CK1" t="str">
            <v>85_男</v>
          </cell>
          <cell r="CL1" t="str">
            <v>86_男</v>
          </cell>
          <cell r="CM1" t="str">
            <v>87_男</v>
          </cell>
          <cell r="CN1" t="str">
            <v>88_男</v>
          </cell>
          <cell r="CO1" t="str">
            <v>89_男</v>
          </cell>
          <cell r="CP1" t="str">
            <v>90_男</v>
          </cell>
          <cell r="CQ1" t="str">
            <v>91_男</v>
          </cell>
          <cell r="CR1" t="str">
            <v>92_男</v>
          </cell>
          <cell r="CS1" t="str">
            <v>93_男</v>
          </cell>
          <cell r="CT1" t="str">
            <v>94_男</v>
          </cell>
          <cell r="CU1" t="str">
            <v>95_男</v>
          </cell>
          <cell r="CV1" t="str">
            <v>96_男</v>
          </cell>
          <cell r="CW1" t="str">
            <v>97_男</v>
          </cell>
          <cell r="CX1" t="str">
            <v>98_男</v>
          </cell>
          <cell r="CY1" t="str">
            <v>99_男</v>
          </cell>
          <cell r="CZ1" t="str">
            <v>100_男</v>
          </cell>
          <cell r="DA1" t="str">
            <v>101_男</v>
          </cell>
          <cell r="DB1" t="str">
            <v>102_男</v>
          </cell>
          <cell r="DC1" t="str">
            <v>103_男</v>
          </cell>
          <cell r="DD1" t="str">
            <v>104_男</v>
          </cell>
          <cell r="DE1" t="str">
            <v>105_男</v>
          </cell>
          <cell r="DF1" t="str">
            <v>106以上_男</v>
          </cell>
          <cell r="DG1" t="str">
            <v>0_女</v>
          </cell>
          <cell r="DH1" t="str">
            <v>1_女</v>
          </cell>
          <cell r="DI1" t="str">
            <v>2_女</v>
          </cell>
          <cell r="DJ1" t="str">
            <v>3_女</v>
          </cell>
          <cell r="DK1" t="str">
            <v>4_女</v>
          </cell>
          <cell r="DL1" t="str">
            <v>5_女</v>
          </cell>
          <cell r="DM1" t="str">
            <v>6_女</v>
          </cell>
          <cell r="DN1" t="str">
            <v>7_女</v>
          </cell>
          <cell r="DO1" t="str">
            <v>8_女</v>
          </cell>
          <cell r="DP1" t="str">
            <v>9_女</v>
          </cell>
          <cell r="DQ1" t="str">
            <v>10_女</v>
          </cell>
          <cell r="DR1" t="str">
            <v>11_女</v>
          </cell>
          <cell r="DS1" t="str">
            <v>12_女</v>
          </cell>
          <cell r="DT1" t="str">
            <v>13_女</v>
          </cell>
          <cell r="DU1" t="str">
            <v>14_女</v>
          </cell>
          <cell r="DV1" t="str">
            <v>15_女</v>
          </cell>
          <cell r="DW1" t="str">
            <v>16_女</v>
          </cell>
          <cell r="DX1" t="str">
            <v>17_女</v>
          </cell>
          <cell r="DY1" t="str">
            <v>18_女</v>
          </cell>
          <cell r="DZ1" t="str">
            <v>19_女</v>
          </cell>
          <cell r="EA1" t="str">
            <v>20_女</v>
          </cell>
          <cell r="EB1" t="str">
            <v>21_女</v>
          </cell>
          <cell r="EC1" t="str">
            <v>22_女</v>
          </cell>
          <cell r="ED1" t="str">
            <v>23_女</v>
          </cell>
          <cell r="EE1" t="str">
            <v>24_女</v>
          </cell>
          <cell r="EF1" t="str">
            <v>25_女</v>
          </cell>
          <cell r="EG1" t="str">
            <v>26_女</v>
          </cell>
          <cell r="EH1" t="str">
            <v>27_女</v>
          </cell>
          <cell r="EI1" t="str">
            <v>28_女</v>
          </cell>
          <cell r="EJ1" t="str">
            <v>29_女</v>
          </cell>
          <cell r="EK1" t="str">
            <v>30_女</v>
          </cell>
          <cell r="EL1" t="str">
            <v>31_女</v>
          </cell>
          <cell r="EM1" t="str">
            <v>32_女</v>
          </cell>
          <cell r="EN1" t="str">
            <v>33_女</v>
          </cell>
          <cell r="EO1" t="str">
            <v>34_女</v>
          </cell>
          <cell r="EP1" t="str">
            <v>35_女</v>
          </cell>
          <cell r="EQ1" t="str">
            <v>36_女</v>
          </cell>
          <cell r="ER1" t="str">
            <v>37_女</v>
          </cell>
          <cell r="ES1" t="str">
            <v>38_女</v>
          </cell>
          <cell r="ET1" t="str">
            <v>39_女</v>
          </cell>
          <cell r="EU1" t="str">
            <v>40_女</v>
          </cell>
          <cell r="EV1" t="str">
            <v>41_女</v>
          </cell>
          <cell r="EW1" t="str">
            <v>42_女</v>
          </cell>
          <cell r="EX1" t="str">
            <v>43_女</v>
          </cell>
          <cell r="EY1" t="str">
            <v>44_女</v>
          </cell>
          <cell r="EZ1" t="str">
            <v>45_女</v>
          </cell>
          <cell r="FA1" t="str">
            <v>46_女</v>
          </cell>
          <cell r="FB1" t="str">
            <v>47_女</v>
          </cell>
          <cell r="FC1" t="str">
            <v>48_女</v>
          </cell>
          <cell r="FD1" t="str">
            <v>49_女</v>
          </cell>
          <cell r="FE1" t="str">
            <v>50_女</v>
          </cell>
          <cell r="FF1" t="str">
            <v>51_女</v>
          </cell>
          <cell r="FG1" t="str">
            <v>52_女</v>
          </cell>
          <cell r="FH1" t="str">
            <v>53_女</v>
          </cell>
          <cell r="FI1" t="str">
            <v>54_女</v>
          </cell>
          <cell r="FJ1" t="str">
            <v>55_女</v>
          </cell>
          <cell r="FK1" t="str">
            <v>56_女</v>
          </cell>
          <cell r="FL1" t="str">
            <v>57_女</v>
          </cell>
          <cell r="FM1" t="str">
            <v>58_女</v>
          </cell>
          <cell r="FN1" t="str">
            <v>59_女</v>
          </cell>
          <cell r="FO1" t="str">
            <v>60_女</v>
          </cell>
          <cell r="FP1" t="str">
            <v>61_女</v>
          </cell>
          <cell r="FQ1" t="str">
            <v>62_女</v>
          </cell>
          <cell r="FR1" t="str">
            <v>63_女</v>
          </cell>
          <cell r="FS1" t="str">
            <v>64_女</v>
          </cell>
          <cell r="FT1" t="str">
            <v>65_女</v>
          </cell>
          <cell r="FU1" t="str">
            <v>66_女</v>
          </cell>
          <cell r="FV1" t="str">
            <v>67_女</v>
          </cell>
          <cell r="FW1" t="str">
            <v>68_女</v>
          </cell>
          <cell r="FX1" t="str">
            <v>69_女</v>
          </cell>
          <cell r="FY1" t="str">
            <v>70_女</v>
          </cell>
          <cell r="FZ1" t="str">
            <v>71_女</v>
          </cell>
          <cell r="GA1" t="str">
            <v>72_女</v>
          </cell>
          <cell r="GB1" t="str">
            <v>73_女</v>
          </cell>
          <cell r="GC1" t="str">
            <v>74_女</v>
          </cell>
          <cell r="GD1" t="str">
            <v>75_女</v>
          </cell>
          <cell r="GE1" t="str">
            <v>76_女</v>
          </cell>
          <cell r="GF1" t="str">
            <v>77_女</v>
          </cell>
          <cell r="GG1" t="str">
            <v>78_女</v>
          </cell>
          <cell r="GH1" t="str">
            <v>79_女</v>
          </cell>
          <cell r="GI1" t="str">
            <v>80_女</v>
          </cell>
          <cell r="GJ1" t="str">
            <v>81_女</v>
          </cell>
          <cell r="GK1" t="str">
            <v>82_女</v>
          </cell>
          <cell r="GL1" t="str">
            <v>83_女</v>
          </cell>
          <cell r="GM1" t="str">
            <v>84_女</v>
          </cell>
          <cell r="GN1" t="str">
            <v>85_女</v>
          </cell>
          <cell r="GO1" t="str">
            <v>86_女</v>
          </cell>
          <cell r="GP1" t="str">
            <v>87_女</v>
          </cell>
          <cell r="GQ1" t="str">
            <v>88_女</v>
          </cell>
          <cell r="GR1" t="str">
            <v>89_女</v>
          </cell>
          <cell r="GS1" t="str">
            <v>90_女</v>
          </cell>
          <cell r="GT1" t="str">
            <v>91_女</v>
          </cell>
          <cell r="GU1" t="str">
            <v>92_女</v>
          </cell>
          <cell r="GV1" t="str">
            <v>93_女</v>
          </cell>
          <cell r="GW1" t="str">
            <v>94_女</v>
          </cell>
          <cell r="GX1" t="str">
            <v>95_女</v>
          </cell>
          <cell r="GY1" t="str">
            <v>96_女</v>
          </cell>
          <cell r="GZ1" t="str">
            <v>97_女</v>
          </cell>
          <cell r="HA1" t="str">
            <v>98_女</v>
          </cell>
          <cell r="HB1" t="str">
            <v>99_女</v>
          </cell>
          <cell r="HC1" t="str">
            <v>100_女</v>
          </cell>
          <cell r="HD1" t="str">
            <v>101_女</v>
          </cell>
          <cell r="HE1" t="str">
            <v>102_女</v>
          </cell>
          <cell r="HF1" t="str">
            <v>103_女</v>
          </cell>
          <cell r="HG1" t="str">
            <v>104_女</v>
          </cell>
          <cell r="HH1" t="str">
            <v>105_女</v>
          </cell>
          <cell r="HI1" t="str">
            <v>106_女</v>
          </cell>
          <cell r="HJ1" t="str">
            <v>107_女</v>
          </cell>
          <cell r="HK1" t="str">
            <v>0_全体</v>
          </cell>
          <cell r="HL1" t="str">
            <v>1_全体</v>
          </cell>
          <cell r="HM1" t="str">
            <v>2_全体</v>
          </cell>
          <cell r="HN1" t="str">
            <v>3_全体</v>
          </cell>
          <cell r="HO1" t="str">
            <v>4_全体</v>
          </cell>
          <cell r="HP1" t="str">
            <v>5_全体</v>
          </cell>
          <cell r="HQ1" t="str">
            <v>6_全体</v>
          </cell>
          <cell r="HR1" t="str">
            <v>7_全体</v>
          </cell>
          <cell r="HS1" t="str">
            <v>8_全体</v>
          </cell>
          <cell r="HT1" t="str">
            <v>9_全体</v>
          </cell>
          <cell r="HU1" t="str">
            <v>10_全体</v>
          </cell>
          <cell r="HV1" t="str">
            <v>11_全体</v>
          </cell>
          <cell r="HW1" t="str">
            <v>12_全体</v>
          </cell>
          <cell r="HX1" t="str">
            <v>13_全体</v>
          </cell>
          <cell r="HY1" t="str">
            <v>14_全体</v>
          </cell>
          <cell r="HZ1" t="str">
            <v>15_全体</v>
          </cell>
          <cell r="IA1" t="str">
            <v>16_全体</v>
          </cell>
          <cell r="IB1" t="str">
            <v>17_全体</v>
          </cell>
          <cell r="IC1" t="str">
            <v>18_全体</v>
          </cell>
          <cell r="ID1" t="str">
            <v>19_全体</v>
          </cell>
          <cell r="IE1" t="str">
            <v>20_全体</v>
          </cell>
          <cell r="IF1" t="str">
            <v>21_全体</v>
          </cell>
          <cell r="IG1" t="str">
            <v>22_全体</v>
          </cell>
          <cell r="IH1" t="str">
            <v>23_全体</v>
          </cell>
          <cell r="II1" t="str">
            <v>24_全体</v>
          </cell>
          <cell r="IJ1" t="str">
            <v>25_全体</v>
          </cell>
          <cell r="IK1" t="str">
            <v>26_全体</v>
          </cell>
          <cell r="IL1" t="str">
            <v>27_全体</v>
          </cell>
          <cell r="IM1" t="str">
            <v>28_全体</v>
          </cell>
          <cell r="IN1" t="str">
            <v>29_全体</v>
          </cell>
          <cell r="IO1" t="str">
            <v>30_全体</v>
          </cell>
          <cell r="IP1" t="str">
            <v>31_全体</v>
          </cell>
          <cell r="IQ1" t="str">
            <v>32_全体</v>
          </cell>
          <cell r="IR1" t="str">
            <v>33_全体</v>
          </cell>
          <cell r="IS1" t="str">
            <v>34_全体</v>
          </cell>
          <cell r="IT1" t="str">
            <v>35_全体</v>
          </cell>
          <cell r="IU1" t="str">
            <v>36_全体</v>
          </cell>
          <cell r="IV1" t="str">
            <v>37_全体</v>
          </cell>
          <cell r="IW1" t="str">
            <v>38_全体</v>
          </cell>
          <cell r="IX1" t="str">
            <v>39_全体</v>
          </cell>
          <cell r="IY1" t="str">
            <v>40_全体</v>
          </cell>
          <cell r="IZ1" t="str">
            <v>41_全体</v>
          </cell>
          <cell r="JA1" t="str">
            <v>42_全体</v>
          </cell>
          <cell r="JB1" t="str">
            <v>43_全体</v>
          </cell>
          <cell r="JC1" t="str">
            <v>44_全体</v>
          </cell>
          <cell r="JD1" t="str">
            <v>45_全体</v>
          </cell>
          <cell r="JE1" t="str">
            <v>46_全体</v>
          </cell>
          <cell r="JF1" t="str">
            <v>47_全体</v>
          </cell>
          <cell r="JG1" t="str">
            <v>48_全体</v>
          </cell>
          <cell r="JH1" t="str">
            <v>49_全体</v>
          </cell>
          <cell r="JI1" t="str">
            <v>50_全体</v>
          </cell>
          <cell r="JJ1" t="str">
            <v>51_全体</v>
          </cell>
          <cell r="JK1" t="str">
            <v>52_全体</v>
          </cell>
          <cell r="JL1" t="str">
            <v>53_全体</v>
          </cell>
          <cell r="JM1" t="str">
            <v>54_全体</v>
          </cell>
          <cell r="JN1" t="str">
            <v>55_全体</v>
          </cell>
          <cell r="JO1" t="str">
            <v>56_全体</v>
          </cell>
          <cell r="JP1" t="str">
            <v>57_全体</v>
          </cell>
          <cell r="JQ1" t="str">
            <v>58_全体</v>
          </cell>
          <cell r="JR1" t="str">
            <v>59_全体</v>
          </cell>
          <cell r="JS1" t="str">
            <v>60_全体</v>
          </cell>
          <cell r="JT1" t="str">
            <v>61_全体</v>
          </cell>
          <cell r="JU1" t="str">
            <v>62_全体</v>
          </cell>
          <cell r="JV1" t="str">
            <v>63_全体</v>
          </cell>
          <cell r="JW1" t="str">
            <v>64_全体</v>
          </cell>
          <cell r="JX1" t="str">
            <v>65_全体</v>
          </cell>
          <cell r="JY1" t="str">
            <v>66_全体</v>
          </cell>
          <cell r="JZ1" t="str">
            <v>67_全体</v>
          </cell>
          <cell r="KA1" t="str">
            <v>68_全体</v>
          </cell>
          <cell r="KB1" t="str">
            <v>69_全体</v>
          </cell>
          <cell r="KC1" t="str">
            <v>70_全体</v>
          </cell>
          <cell r="KD1" t="str">
            <v>71_全体</v>
          </cell>
          <cell r="KE1" t="str">
            <v>72_全体</v>
          </cell>
          <cell r="KF1" t="str">
            <v>73_全体</v>
          </cell>
          <cell r="KG1" t="str">
            <v>74_全体</v>
          </cell>
          <cell r="KH1" t="str">
            <v>75_全体</v>
          </cell>
          <cell r="KI1" t="str">
            <v>76_全体</v>
          </cell>
          <cell r="KJ1" t="str">
            <v>77_全体</v>
          </cell>
          <cell r="KK1" t="str">
            <v>78_全体</v>
          </cell>
          <cell r="KL1" t="str">
            <v>79_全体</v>
          </cell>
          <cell r="KM1" t="str">
            <v>80_全体</v>
          </cell>
          <cell r="KN1" t="str">
            <v>81_全体</v>
          </cell>
          <cell r="KO1" t="str">
            <v>82_全体</v>
          </cell>
          <cell r="KP1" t="str">
            <v>83_全体</v>
          </cell>
          <cell r="KQ1" t="str">
            <v>84_全体</v>
          </cell>
          <cell r="KR1" t="str">
            <v>85_全体</v>
          </cell>
          <cell r="KS1" t="str">
            <v>86_全体</v>
          </cell>
          <cell r="KT1" t="str">
            <v>87_全体</v>
          </cell>
          <cell r="KU1" t="str">
            <v>88_全体</v>
          </cell>
          <cell r="KV1" t="str">
            <v>89_全体</v>
          </cell>
          <cell r="KW1" t="str">
            <v>90_全体</v>
          </cell>
          <cell r="KX1" t="str">
            <v>91_全体</v>
          </cell>
          <cell r="KY1" t="str">
            <v>92_全体</v>
          </cell>
          <cell r="KZ1" t="str">
            <v>93_全体</v>
          </cell>
          <cell r="LA1" t="str">
            <v>94_全体</v>
          </cell>
          <cell r="LB1" t="str">
            <v>95_全体</v>
          </cell>
          <cell r="LC1" t="str">
            <v>96_全体</v>
          </cell>
          <cell r="LD1" t="str">
            <v>97_全体</v>
          </cell>
          <cell r="LE1" t="str">
            <v>98_全体</v>
          </cell>
          <cell r="LF1" t="str">
            <v>99_全体</v>
          </cell>
          <cell r="LG1" t="str">
            <v>100_全体</v>
          </cell>
          <cell r="LH1" t="str">
            <v>101_全体</v>
          </cell>
          <cell r="LI1" t="str">
            <v>102_全体</v>
          </cell>
          <cell r="LJ1" t="str">
            <v>103_全体</v>
          </cell>
          <cell r="LK1" t="str">
            <v>104_全体</v>
          </cell>
          <cell r="LL1" t="str">
            <v>105_全体</v>
          </cell>
          <cell r="LM1" t="str">
            <v>106_全体</v>
          </cell>
          <cell r="LN1" t="str">
            <v>107_全体</v>
          </cell>
          <cell r="LO1" t="str">
            <v>年代0-4_男</v>
          </cell>
          <cell r="LP1" t="str">
            <v>年代5-9_男</v>
          </cell>
          <cell r="LQ1" t="str">
            <v>年代10-14_男</v>
          </cell>
          <cell r="LR1" t="str">
            <v>年代15-19_男</v>
          </cell>
          <cell r="LS1" t="str">
            <v>年代20-24_男</v>
          </cell>
          <cell r="LT1" t="str">
            <v>年代25-29_男</v>
          </cell>
          <cell r="LU1" t="str">
            <v>年代30-34_男</v>
          </cell>
          <cell r="LV1" t="str">
            <v>年代35-39_男</v>
          </cell>
          <cell r="LW1" t="str">
            <v>年代40-44_男</v>
          </cell>
          <cell r="LX1" t="str">
            <v>年代45-49_男</v>
          </cell>
          <cell r="LY1" t="str">
            <v>年代50-54_男</v>
          </cell>
          <cell r="LZ1" t="str">
            <v>年代55-59_男</v>
          </cell>
          <cell r="MA1" t="str">
            <v>年代60-64_男</v>
          </cell>
          <cell r="MB1" t="str">
            <v>年代65-69_男</v>
          </cell>
          <cell r="MC1" t="str">
            <v>年代70-74_男</v>
          </cell>
          <cell r="MD1" t="str">
            <v>年代75-79_男</v>
          </cell>
          <cell r="ME1" t="str">
            <v>年代80-84_男</v>
          </cell>
          <cell r="MF1" t="str">
            <v>年代85-89_男</v>
          </cell>
          <cell r="MG1" t="str">
            <v>年代90-94_男</v>
          </cell>
          <cell r="MH1" t="str">
            <v>年代95-99_男</v>
          </cell>
          <cell r="MI1" t="str">
            <v>年代100-104_男</v>
          </cell>
          <cell r="MJ1" t="str">
            <v>年代0-4_女</v>
          </cell>
          <cell r="MK1" t="str">
            <v>年代5-9_女</v>
          </cell>
          <cell r="ML1" t="str">
            <v>年代10-14_女</v>
          </cell>
          <cell r="MM1" t="str">
            <v>年代15-19_女</v>
          </cell>
          <cell r="MN1" t="str">
            <v>年代20-24_女</v>
          </cell>
          <cell r="MO1" t="str">
            <v>年代25-29_女</v>
          </cell>
          <cell r="MP1" t="str">
            <v>年代30-34_女</v>
          </cell>
          <cell r="MQ1" t="str">
            <v>年代35-39_女</v>
          </cell>
          <cell r="MR1" t="str">
            <v>年代40-44_女</v>
          </cell>
          <cell r="MS1" t="str">
            <v>年代45-49_女</v>
          </cell>
          <cell r="MT1" t="str">
            <v>年代50-54_女</v>
          </cell>
          <cell r="MU1" t="str">
            <v>年代55-59_女</v>
          </cell>
          <cell r="MV1" t="str">
            <v>年代60-64_女</v>
          </cell>
          <cell r="MW1" t="str">
            <v>年代65-69_女</v>
          </cell>
          <cell r="MX1" t="str">
            <v>年代70-74_女</v>
          </cell>
          <cell r="MY1" t="str">
            <v>年代75-79_女</v>
          </cell>
          <cell r="MZ1" t="str">
            <v>年代80-84_女</v>
          </cell>
          <cell r="NA1" t="str">
            <v>年代85-89_女</v>
          </cell>
          <cell r="NB1" t="str">
            <v>年代90-94_女</v>
          </cell>
          <cell r="NC1" t="str">
            <v>年代95-99_女</v>
          </cell>
          <cell r="ND1" t="str">
            <v>年代100-104_女</v>
          </cell>
          <cell r="NE1" t="str">
            <v>年代105-109_女</v>
          </cell>
          <cell r="NF1" t="str">
            <v>年代0-4_全体</v>
          </cell>
          <cell r="NG1" t="str">
            <v>年代5-9_全体</v>
          </cell>
          <cell r="NH1" t="str">
            <v>年代10-14_全体</v>
          </cell>
          <cell r="NI1" t="str">
            <v>年代15-19_全体</v>
          </cell>
          <cell r="NJ1" t="str">
            <v>年代20-24_全体</v>
          </cell>
          <cell r="NK1" t="str">
            <v>年代25-29_全体</v>
          </cell>
          <cell r="NL1" t="str">
            <v>年代30-34_全体</v>
          </cell>
          <cell r="NM1" t="str">
            <v>年代35-39_全体</v>
          </cell>
          <cell r="NN1" t="str">
            <v>年代40-44_全体</v>
          </cell>
          <cell r="NO1" t="str">
            <v>年代45-49_全体</v>
          </cell>
          <cell r="NP1" t="str">
            <v>年代50-54_全体</v>
          </cell>
          <cell r="NQ1" t="str">
            <v>年代55-59_全体</v>
          </cell>
          <cell r="NR1" t="str">
            <v>年代60-64_全体</v>
          </cell>
          <cell r="NS1" t="str">
            <v>年代65-69_全体</v>
          </cell>
          <cell r="NT1" t="str">
            <v>年代70-74_全体</v>
          </cell>
          <cell r="NU1" t="str">
            <v>年代75-79_全体</v>
          </cell>
          <cell r="NV1" t="str">
            <v>年代80-84_全体</v>
          </cell>
          <cell r="NW1" t="str">
            <v>年代85-89_全体</v>
          </cell>
          <cell r="NX1" t="str">
            <v>年代90-94_全体</v>
          </cell>
          <cell r="NY1" t="str">
            <v>年代95-99_全体</v>
          </cell>
          <cell r="NZ1" t="str">
            <v>年代100-104_全体</v>
          </cell>
          <cell r="OA1" t="str">
            <v>年代105-109_全体</v>
          </cell>
          <cell r="OB1" t="str">
            <v>65以上_男</v>
          </cell>
          <cell r="OC1" t="str">
            <v>65以上_女</v>
          </cell>
          <cell r="OD1" t="str">
            <v>65以上_全体</v>
          </cell>
          <cell r="OE1" t="str">
            <v>65以上_割合</v>
          </cell>
          <cell r="OF1" t="str">
            <v>合計_男</v>
          </cell>
          <cell r="OG1" t="str">
            <v>合計_女</v>
          </cell>
          <cell r="OH1" t="str">
            <v>合計_総合計</v>
          </cell>
          <cell r="OI1" t="str">
            <v>世帯数</v>
          </cell>
          <cell r="OJ1" t="str">
            <v>平均_男</v>
          </cell>
          <cell r="OK1" t="str">
            <v>平均_女</v>
          </cell>
          <cell r="OL1" t="str">
            <v>平均_全体</v>
          </cell>
          <cell r="OM1" t="str">
            <v>作成日</v>
          </cell>
          <cell r="ON1" t="str">
            <v>集計対象</v>
          </cell>
        </row>
        <row r="2">
          <cell r="A2" t="str">
            <v>大阪府摂津市</v>
          </cell>
          <cell r="B2" t="str">
            <v>全体</v>
          </cell>
          <cell r="C2" t="str">
            <v>令和元年10月31日</v>
          </cell>
          <cell r="D2">
            <v>399</v>
          </cell>
          <cell r="E2">
            <v>403</v>
          </cell>
          <cell r="F2">
            <v>397</v>
          </cell>
          <cell r="G2">
            <v>414</v>
          </cell>
          <cell r="H2">
            <v>369</v>
          </cell>
          <cell r="I2">
            <v>376</v>
          </cell>
          <cell r="J2">
            <v>375</v>
          </cell>
          <cell r="K2">
            <v>343</v>
          </cell>
          <cell r="L2">
            <v>365</v>
          </cell>
          <cell r="M2">
            <v>384</v>
          </cell>
          <cell r="N2">
            <v>391</v>
          </cell>
          <cell r="O2">
            <v>326</v>
          </cell>
          <cell r="P2">
            <v>377</v>
          </cell>
          <cell r="Q2">
            <v>387</v>
          </cell>
          <cell r="R2">
            <v>403</v>
          </cell>
          <cell r="S2">
            <v>403</v>
          </cell>
          <cell r="T2">
            <v>374</v>
          </cell>
          <cell r="U2">
            <v>405</v>
          </cell>
          <cell r="V2">
            <v>445</v>
          </cell>
          <cell r="W2">
            <v>451</v>
          </cell>
          <cell r="X2">
            <v>488</v>
          </cell>
          <cell r="Y2">
            <v>487</v>
          </cell>
          <cell r="Z2">
            <v>481</v>
          </cell>
          <cell r="AA2">
            <v>502</v>
          </cell>
          <cell r="AB2">
            <v>499</v>
          </cell>
          <cell r="AC2">
            <v>519</v>
          </cell>
          <cell r="AD2">
            <v>538</v>
          </cell>
          <cell r="AE2">
            <v>476</v>
          </cell>
          <cell r="AF2">
            <v>548</v>
          </cell>
          <cell r="AG2">
            <v>536</v>
          </cell>
          <cell r="AH2">
            <v>519</v>
          </cell>
          <cell r="AI2">
            <v>608</v>
          </cell>
          <cell r="AJ2">
            <v>511</v>
          </cell>
          <cell r="AK2">
            <v>528</v>
          </cell>
          <cell r="AL2">
            <v>578</v>
          </cell>
          <cell r="AM2">
            <v>589</v>
          </cell>
          <cell r="AN2">
            <v>578</v>
          </cell>
          <cell r="AO2">
            <v>574</v>
          </cell>
          <cell r="AP2">
            <v>571</v>
          </cell>
          <cell r="AQ2">
            <v>583</v>
          </cell>
          <cell r="AR2">
            <v>561</v>
          </cell>
          <cell r="AS2">
            <v>614</v>
          </cell>
          <cell r="AT2">
            <v>619</v>
          </cell>
          <cell r="AU2">
            <v>708</v>
          </cell>
          <cell r="AV2">
            <v>703</v>
          </cell>
          <cell r="AW2">
            <v>811</v>
          </cell>
          <cell r="AX2">
            <v>879</v>
          </cell>
          <cell r="AY2">
            <v>827</v>
          </cell>
          <cell r="AZ2">
            <v>790</v>
          </cell>
          <cell r="BA2">
            <v>744</v>
          </cell>
          <cell r="BB2">
            <v>731</v>
          </cell>
          <cell r="BC2">
            <v>659</v>
          </cell>
          <cell r="BD2">
            <v>680</v>
          </cell>
          <cell r="BE2">
            <v>523</v>
          </cell>
          <cell r="BF2">
            <v>553</v>
          </cell>
          <cell r="BG2">
            <v>503</v>
          </cell>
          <cell r="BH2">
            <v>493</v>
          </cell>
          <cell r="BI2">
            <v>481</v>
          </cell>
          <cell r="BJ2">
            <v>437</v>
          </cell>
          <cell r="BK2">
            <v>413</v>
          </cell>
          <cell r="BL2">
            <v>418</v>
          </cell>
          <cell r="BM2">
            <v>446</v>
          </cell>
          <cell r="BN2">
            <v>375</v>
          </cell>
          <cell r="BO2">
            <v>414</v>
          </cell>
          <cell r="BP2">
            <v>435</v>
          </cell>
          <cell r="BQ2">
            <v>407</v>
          </cell>
          <cell r="BR2">
            <v>444</v>
          </cell>
          <cell r="BS2">
            <v>466</v>
          </cell>
          <cell r="BT2">
            <v>537</v>
          </cell>
          <cell r="BU2">
            <v>573</v>
          </cell>
          <cell r="BV2">
            <v>666</v>
          </cell>
          <cell r="BW2">
            <v>647</v>
          </cell>
          <cell r="BX2">
            <v>679</v>
          </cell>
          <cell r="BY2">
            <v>373</v>
          </cell>
          <cell r="BZ2">
            <v>408</v>
          </cell>
          <cell r="CA2">
            <v>516</v>
          </cell>
          <cell r="CB2">
            <v>490</v>
          </cell>
          <cell r="CC2">
            <v>497</v>
          </cell>
          <cell r="CD2">
            <v>488</v>
          </cell>
          <cell r="CE2">
            <v>404</v>
          </cell>
          <cell r="CF2">
            <v>344</v>
          </cell>
          <cell r="CG2">
            <v>303</v>
          </cell>
          <cell r="CH2">
            <v>288</v>
          </cell>
          <cell r="CI2">
            <v>287</v>
          </cell>
          <cell r="CJ2">
            <v>211</v>
          </cell>
          <cell r="CK2">
            <v>146</v>
          </cell>
          <cell r="CL2">
            <v>132</v>
          </cell>
          <cell r="CM2">
            <v>134</v>
          </cell>
          <cell r="CN2">
            <v>91</v>
          </cell>
          <cell r="CO2">
            <v>58</v>
          </cell>
          <cell r="CP2">
            <v>58</v>
          </cell>
          <cell r="CQ2">
            <v>44</v>
          </cell>
          <cell r="CR2">
            <v>35</v>
          </cell>
          <cell r="CS2">
            <v>26</v>
          </cell>
          <cell r="CT2">
            <v>14</v>
          </cell>
          <cell r="CU2">
            <v>10</v>
          </cell>
          <cell r="CV2">
            <v>5</v>
          </cell>
          <cell r="CW2">
            <v>7</v>
          </cell>
          <cell r="CX2">
            <v>2</v>
          </cell>
          <cell r="CY2">
            <v>3</v>
          </cell>
          <cell r="CZ2">
            <v>0</v>
          </cell>
          <cell r="DA2">
            <v>0</v>
          </cell>
          <cell r="DB2">
            <v>0</v>
          </cell>
          <cell r="DC2">
            <v>1</v>
          </cell>
          <cell r="DD2">
            <v>0</v>
          </cell>
          <cell r="DE2">
            <v>0</v>
          </cell>
          <cell r="DF2">
            <v>0</v>
          </cell>
          <cell r="DG2">
            <v>367</v>
          </cell>
          <cell r="DH2">
            <v>414</v>
          </cell>
          <cell r="DI2">
            <v>357</v>
          </cell>
          <cell r="DJ2">
            <v>375</v>
          </cell>
          <cell r="DK2">
            <v>347</v>
          </cell>
          <cell r="DL2">
            <v>394</v>
          </cell>
          <cell r="DM2">
            <v>312</v>
          </cell>
          <cell r="DN2">
            <v>369</v>
          </cell>
          <cell r="DO2">
            <v>354</v>
          </cell>
          <cell r="DP2">
            <v>364</v>
          </cell>
          <cell r="DQ2">
            <v>355</v>
          </cell>
          <cell r="DR2">
            <v>342</v>
          </cell>
          <cell r="DS2">
            <v>382</v>
          </cell>
          <cell r="DT2">
            <v>336</v>
          </cell>
          <cell r="DU2">
            <v>390</v>
          </cell>
          <cell r="DV2">
            <v>366</v>
          </cell>
          <cell r="DW2">
            <v>361</v>
          </cell>
          <cell r="DX2">
            <v>406</v>
          </cell>
          <cell r="DY2">
            <v>373</v>
          </cell>
          <cell r="DZ2">
            <v>441</v>
          </cell>
          <cell r="EA2">
            <v>434</v>
          </cell>
          <cell r="EB2">
            <v>425</v>
          </cell>
          <cell r="EC2">
            <v>473</v>
          </cell>
          <cell r="ED2">
            <v>483</v>
          </cell>
          <cell r="EE2">
            <v>429</v>
          </cell>
          <cell r="EF2">
            <v>443</v>
          </cell>
          <cell r="EG2">
            <v>470</v>
          </cell>
          <cell r="EH2">
            <v>487</v>
          </cell>
          <cell r="EI2">
            <v>508</v>
          </cell>
          <cell r="EJ2">
            <v>542</v>
          </cell>
          <cell r="EK2">
            <v>512</v>
          </cell>
          <cell r="EL2">
            <v>561</v>
          </cell>
          <cell r="EM2">
            <v>537</v>
          </cell>
          <cell r="EN2">
            <v>528</v>
          </cell>
          <cell r="EO2">
            <v>523</v>
          </cell>
          <cell r="EP2">
            <v>511</v>
          </cell>
          <cell r="EQ2">
            <v>552</v>
          </cell>
          <cell r="ER2">
            <v>572</v>
          </cell>
          <cell r="ES2">
            <v>539</v>
          </cell>
          <cell r="ET2">
            <v>538</v>
          </cell>
          <cell r="EU2">
            <v>565</v>
          </cell>
          <cell r="EV2">
            <v>563</v>
          </cell>
          <cell r="EW2">
            <v>585</v>
          </cell>
          <cell r="EX2">
            <v>641</v>
          </cell>
          <cell r="EY2">
            <v>669</v>
          </cell>
          <cell r="EZ2">
            <v>726</v>
          </cell>
          <cell r="FA2">
            <v>744</v>
          </cell>
          <cell r="FB2">
            <v>768</v>
          </cell>
          <cell r="FC2">
            <v>729</v>
          </cell>
          <cell r="FD2">
            <v>694</v>
          </cell>
          <cell r="FE2">
            <v>611</v>
          </cell>
          <cell r="FF2">
            <v>620</v>
          </cell>
          <cell r="FG2">
            <v>571</v>
          </cell>
          <cell r="FH2">
            <v>397</v>
          </cell>
          <cell r="FI2">
            <v>566</v>
          </cell>
          <cell r="FJ2">
            <v>483</v>
          </cell>
          <cell r="FK2">
            <v>449</v>
          </cell>
          <cell r="FL2">
            <v>428</v>
          </cell>
          <cell r="FM2">
            <v>430</v>
          </cell>
          <cell r="FN2">
            <v>383</v>
          </cell>
          <cell r="FO2">
            <v>411</v>
          </cell>
          <cell r="FP2">
            <v>413</v>
          </cell>
          <cell r="FQ2">
            <v>397</v>
          </cell>
          <cell r="FR2">
            <v>415</v>
          </cell>
          <cell r="FS2">
            <v>423</v>
          </cell>
          <cell r="FT2">
            <v>455</v>
          </cell>
          <cell r="FU2">
            <v>502</v>
          </cell>
          <cell r="FV2">
            <v>549</v>
          </cell>
          <cell r="FW2">
            <v>571</v>
          </cell>
          <cell r="FX2">
            <v>645</v>
          </cell>
          <cell r="FY2">
            <v>784</v>
          </cell>
          <cell r="FZ2">
            <v>761</v>
          </cell>
          <cell r="GA2">
            <v>742</v>
          </cell>
          <cell r="GB2">
            <v>460</v>
          </cell>
          <cell r="GC2">
            <v>505</v>
          </cell>
          <cell r="GD2">
            <v>600</v>
          </cell>
          <cell r="GE2">
            <v>644</v>
          </cell>
          <cell r="GF2">
            <v>627</v>
          </cell>
          <cell r="GG2">
            <v>582</v>
          </cell>
          <cell r="GH2">
            <v>503</v>
          </cell>
          <cell r="GI2">
            <v>374</v>
          </cell>
          <cell r="GJ2">
            <v>393</v>
          </cell>
          <cell r="GK2">
            <v>347</v>
          </cell>
          <cell r="GL2">
            <v>312</v>
          </cell>
          <cell r="GM2">
            <v>306</v>
          </cell>
          <cell r="GN2">
            <v>265</v>
          </cell>
          <cell r="GO2">
            <v>250</v>
          </cell>
          <cell r="GP2">
            <v>194</v>
          </cell>
          <cell r="GQ2">
            <v>169</v>
          </cell>
          <cell r="GR2">
            <v>134</v>
          </cell>
          <cell r="GS2">
            <v>152</v>
          </cell>
          <cell r="GT2">
            <v>116</v>
          </cell>
          <cell r="GU2">
            <v>94</v>
          </cell>
          <cell r="GV2">
            <v>74</v>
          </cell>
          <cell r="GW2">
            <v>65</v>
          </cell>
          <cell r="GX2">
            <v>52</v>
          </cell>
          <cell r="GY2">
            <v>34</v>
          </cell>
          <cell r="GZ2">
            <v>36</v>
          </cell>
          <cell r="HA2">
            <v>16</v>
          </cell>
          <cell r="HB2">
            <v>22</v>
          </cell>
          <cell r="HC2">
            <v>10</v>
          </cell>
          <cell r="HD2">
            <v>2</v>
          </cell>
          <cell r="HE2">
            <v>2</v>
          </cell>
          <cell r="HF2">
            <v>3</v>
          </cell>
          <cell r="HG2">
            <v>3</v>
          </cell>
          <cell r="HH2">
            <v>0</v>
          </cell>
          <cell r="HI2">
            <v>0</v>
          </cell>
          <cell r="HJ2">
            <v>1</v>
          </cell>
          <cell r="HK2">
            <v>766</v>
          </cell>
          <cell r="HL2">
            <v>817</v>
          </cell>
          <cell r="HM2">
            <v>754</v>
          </cell>
          <cell r="HN2">
            <v>789</v>
          </cell>
          <cell r="HO2">
            <v>716</v>
          </cell>
          <cell r="HP2">
            <v>770</v>
          </cell>
          <cell r="HQ2">
            <v>687</v>
          </cell>
          <cell r="HR2">
            <v>712</v>
          </cell>
          <cell r="HS2">
            <v>719</v>
          </cell>
          <cell r="HT2">
            <v>748</v>
          </cell>
          <cell r="HU2">
            <v>746</v>
          </cell>
          <cell r="HV2">
            <v>668</v>
          </cell>
          <cell r="HW2">
            <v>759</v>
          </cell>
          <cell r="HX2">
            <v>723</v>
          </cell>
          <cell r="HY2">
            <v>793</v>
          </cell>
          <cell r="HZ2">
            <v>769</v>
          </cell>
          <cell r="IA2">
            <v>735</v>
          </cell>
          <cell r="IB2">
            <v>811</v>
          </cell>
          <cell r="IC2">
            <v>818</v>
          </cell>
          <cell r="ID2">
            <v>892</v>
          </cell>
          <cell r="IE2">
            <v>922</v>
          </cell>
          <cell r="IF2">
            <v>912</v>
          </cell>
          <cell r="IG2">
            <v>954</v>
          </cell>
          <cell r="IH2">
            <v>985</v>
          </cell>
          <cell r="II2">
            <v>928</v>
          </cell>
          <cell r="IJ2">
            <v>962</v>
          </cell>
          <cell r="IK2">
            <v>1008</v>
          </cell>
          <cell r="IL2">
            <v>963</v>
          </cell>
          <cell r="IM2">
            <v>1056</v>
          </cell>
          <cell r="IN2">
            <v>1078</v>
          </cell>
          <cell r="IO2">
            <v>1031</v>
          </cell>
          <cell r="IP2">
            <v>1169</v>
          </cell>
          <cell r="IQ2">
            <v>1048</v>
          </cell>
          <cell r="IR2">
            <v>1056</v>
          </cell>
          <cell r="IS2">
            <v>1101</v>
          </cell>
          <cell r="IT2">
            <v>1100</v>
          </cell>
          <cell r="IU2">
            <v>1130</v>
          </cell>
          <cell r="IV2">
            <v>1146</v>
          </cell>
          <cell r="IW2">
            <v>1110</v>
          </cell>
          <cell r="IX2">
            <v>1121</v>
          </cell>
          <cell r="IY2">
            <v>1126</v>
          </cell>
          <cell r="IZ2">
            <v>1177</v>
          </cell>
          <cell r="JA2">
            <v>1204</v>
          </cell>
          <cell r="JB2">
            <v>1349</v>
          </cell>
          <cell r="JC2">
            <v>1372</v>
          </cell>
          <cell r="JD2">
            <v>1537</v>
          </cell>
          <cell r="JE2">
            <v>1623</v>
          </cell>
          <cell r="JF2">
            <v>1595</v>
          </cell>
          <cell r="JG2">
            <v>1519</v>
          </cell>
          <cell r="JH2">
            <v>1438</v>
          </cell>
          <cell r="JI2">
            <v>1342</v>
          </cell>
          <cell r="JJ2">
            <v>1279</v>
          </cell>
          <cell r="JK2">
            <v>1251</v>
          </cell>
          <cell r="JL2">
            <v>920</v>
          </cell>
          <cell r="JM2">
            <v>1119</v>
          </cell>
          <cell r="JN2">
            <v>986</v>
          </cell>
          <cell r="JO2">
            <v>942</v>
          </cell>
          <cell r="JP2">
            <v>909</v>
          </cell>
          <cell r="JQ2">
            <v>867</v>
          </cell>
          <cell r="JR2">
            <v>796</v>
          </cell>
          <cell r="JS2">
            <v>829</v>
          </cell>
          <cell r="JT2">
            <v>859</v>
          </cell>
          <cell r="JU2">
            <v>772</v>
          </cell>
          <cell r="JV2">
            <v>829</v>
          </cell>
          <cell r="JW2">
            <v>858</v>
          </cell>
          <cell r="JX2">
            <v>862</v>
          </cell>
          <cell r="JY2">
            <v>946</v>
          </cell>
          <cell r="JZ2">
            <v>1015</v>
          </cell>
          <cell r="KA2">
            <v>1108</v>
          </cell>
          <cell r="KB2">
            <v>1218</v>
          </cell>
          <cell r="KC2">
            <v>1450</v>
          </cell>
          <cell r="KD2">
            <v>1408</v>
          </cell>
          <cell r="KE2">
            <v>1421</v>
          </cell>
          <cell r="KF2">
            <v>833</v>
          </cell>
          <cell r="KG2">
            <v>913</v>
          </cell>
          <cell r="KH2">
            <v>1116</v>
          </cell>
          <cell r="KI2">
            <v>1134</v>
          </cell>
          <cell r="KJ2">
            <v>1124</v>
          </cell>
          <cell r="KK2">
            <v>1070</v>
          </cell>
          <cell r="KL2">
            <v>907</v>
          </cell>
          <cell r="KM2">
            <v>718</v>
          </cell>
          <cell r="KN2">
            <v>696</v>
          </cell>
          <cell r="KO2">
            <v>635</v>
          </cell>
          <cell r="KP2">
            <v>599</v>
          </cell>
          <cell r="KQ2">
            <v>517</v>
          </cell>
          <cell r="KR2">
            <v>411</v>
          </cell>
          <cell r="KS2">
            <v>382</v>
          </cell>
          <cell r="KT2">
            <v>328</v>
          </cell>
          <cell r="KU2">
            <v>260</v>
          </cell>
          <cell r="KV2">
            <v>192</v>
          </cell>
          <cell r="KW2">
            <v>210</v>
          </cell>
          <cell r="KX2">
            <v>160</v>
          </cell>
          <cell r="KY2">
            <v>129</v>
          </cell>
          <cell r="KZ2">
            <v>100</v>
          </cell>
          <cell r="LA2">
            <v>79</v>
          </cell>
          <cell r="LB2">
            <v>62</v>
          </cell>
          <cell r="LC2">
            <v>39</v>
          </cell>
          <cell r="LD2">
            <v>43</v>
          </cell>
          <cell r="LE2">
            <v>18</v>
          </cell>
          <cell r="LF2">
            <v>25</v>
          </cell>
          <cell r="LG2">
            <v>10</v>
          </cell>
          <cell r="LH2">
            <v>2</v>
          </cell>
          <cell r="LI2">
            <v>2</v>
          </cell>
          <cell r="LJ2">
            <v>4</v>
          </cell>
          <cell r="LK2">
            <v>3</v>
          </cell>
          <cell r="LL2">
            <v>0</v>
          </cell>
          <cell r="LM2">
            <v>0</v>
          </cell>
          <cell r="LN2">
            <v>1</v>
          </cell>
          <cell r="LO2">
            <v>1982</v>
          </cell>
          <cell r="LP2">
            <v>1843</v>
          </cell>
          <cell r="LQ2">
            <v>1884</v>
          </cell>
          <cell r="LR2">
            <v>2078</v>
          </cell>
          <cell r="LS2">
            <v>2457</v>
          </cell>
          <cell r="LT2">
            <v>2617</v>
          </cell>
          <cell r="LU2">
            <v>2744</v>
          </cell>
          <cell r="LV2">
            <v>2895</v>
          </cell>
          <cell r="LW2">
            <v>3205</v>
          </cell>
          <cell r="LX2">
            <v>4051</v>
          </cell>
          <cell r="LY2">
            <v>3146</v>
          </cell>
          <cell r="LZ2">
            <v>2327</v>
          </cell>
          <cell r="MA2">
            <v>2088</v>
          </cell>
          <cell r="MB2">
            <v>2427</v>
          </cell>
          <cell r="MC2">
            <v>2773</v>
          </cell>
          <cell r="MD2">
            <v>2395</v>
          </cell>
          <cell r="ME2">
            <v>1433</v>
          </cell>
          <cell r="MF2">
            <v>561</v>
          </cell>
          <cell r="MG2">
            <v>177</v>
          </cell>
          <cell r="MH2">
            <v>27</v>
          </cell>
          <cell r="MI2">
            <v>1</v>
          </cell>
          <cell r="MJ2">
            <v>1860</v>
          </cell>
          <cell r="MK2">
            <v>1793</v>
          </cell>
          <cell r="ML2">
            <v>1805</v>
          </cell>
          <cell r="MM2">
            <v>1947</v>
          </cell>
          <cell r="MN2">
            <v>2244</v>
          </cell>
          <cell r="MO2">
            <v>2450</v>
          </cell>
          <cell r="MP2">
            <v>2661</v>
          </cell>
          <cell r="MQ2">
            <v>2712</v>
          </cell>
          <cell r="MR2">
            <v>3023</v>
          </cell>
          <cell r="MS2">
            <v>3661</v>
          </cell>
          <cell r="MT2">
            <v>2765</v>
          </cell>
          <cell r="MU2">
            <v>2173</v>
          </cell>
          <cell r="MV2">
            <v>2059</v>
          </cell>
          <cell r="MW2">
            <v>2722</v>
          </cell>
          <cell r="MX2">
            <v>3252</v>
          </cell>
          <cell r="MY2">
            <v>2956</v>
          </cell>
          <cell r="MZ2">
            <v>1732</v>
          </cell>
          <cell r="NA2">
            <v>1012</v>
          </cell>
          <cell r="NB2">
            <v>501</v>
          </cell>
          <cell r="NC2">
            <v>160</v>
          </cell>
          <cell r="ND2">
            <v>19</v>
          </cell>
          <cell r="NE2">
            <v>1</v>
          </cell>
          <cell r="NF2">
            <v>3842</v>
          </cell>
          <cell r="NG2">
            <v>3636</v>
          </cell>
          <cell r="NH2">
            <v>3689</v>
          </cell>
          <cell r="NI2">
            <v>4025</v>
          </cell>
          <cell r="NJ2">
            <v>4701</v>
          </cell>
          <cell r="NK2">
            <v>5067</v>
          </cell>
          <cell r="NL2">
            <v>5405</v>
          </cell>
          <cell r="NM2">
            <v>5607</v>
          </cell>
          <cell r="NN2">
            <v>6228</v>
          </cell>
          <cell r="NO2">
            <v>7712</v>
          </cell>
          <cell r="NP2">
            <v>5911</v>
          </cell>
          <cell r="NQ2">
            <v>4500</v>
          </cell>
          <cell r="NR2">
            <v>4147</v>
          </cell>
          <cell r="NS2">
            <v>5149</v>
          </cell>
          <cell r="NT2">
            <v>6025</v>
          </cell>
          <cell r="NU2">
            <v>5351</v>
          </cell>
          <cell r="NV2">
            <v>3165</v>
          </cell>
          <cell r="NW2">
            <v>1573</v>
          </cell>
          <cell r="NX2">
            <v>678</v>
          </cell>
          <cell r="NY2">
            <v>187</v>
          </cell>
          <cell r="NZ2">
            <v>20</v>
          </cell>
          <cell r="OA2">
            <v>1</v>
          </cell>
          <cell r="OB2">
            <v>9794</v>
          </cell>
          <cell r="OC2">
            <v>12356</v>
          </cell>
          <cell r="OD2">
            <v>22150</v>
          </cell>
          <cell r="OE2">
            <v>25.6</v>
          </cell>
          <cell r="OF2">
            <v>43111</v>
          </cell>
          <cell r="OG2">
            <v>43509</v>
          </cell>
          <cell r="OH2">
            <v>86620</v>
          </cell>
          <cell r="OI2">
            <v>41415</v>
          </cell>
          <cell r="OJ2">
            <v>44</v>
          </cell>
          <cell r="OK2">
            <v>46</v>
          </cell>
          <cell r="OL2">
            <v>45</v>
          </cell>
          <cell r="OM2" t="str">
            <v>令和元年11月 5日</v>
          </cell>
          <cell r="ON2" t="str">
            <v>※外国人を含めた集計です。</v>
          </cell>
        </row>
      </sheetData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操作方法"/>
      <sheetName val="データ貼り付けシート"/>
      <sheetName val="印刷用シート"/>
      <sheetName val="ホームページ用シート"/>
    </sheetNames>
    <sheetDataSet>
      <sheetData sheetId="0"/>
      <sheetData sheetId="1">
        <row r="1">
          <cell r="A1" t="str">
            <v>自治体名</v>
          </cell>
          <cell r="B1" t="str">
            <v>集計区分</v>
          </cell>
          <cell r="C1" t="str">
            <v>基準日</v>
          </cell>
          <cell r="D1" t="str">
            <v>0_男</v>
          </cell>
          <cell r="E1" t="str">
            <v>1_男</v>
          </cell>
          <cell r="F1" t="str">
            <v>2_男</v>
          </cell>
          <cell r="G1" t="str">
            <v>3_男</v>
          </cell>
          <cell r="H1" t="str">
            <v>4_男</v>
          </cell>
          <cell r="I1" t="str">
            <v>5_男</v>
          </cell>
          <cell r="J1" t="str">
            <v>6_男</v>
          </cell>
          <cell r="K1" t="str">
            <v>7_男</v>
          </cell>
          <cell r="L1" t="str">
            <v>8_男</v>
          </cell>
          <cell r="M1" t="str">
            <v>9_男</v>
          </cell>
          <cell r="N1" t="str">
            <v>10_男</v>
          </cell>
          <cell r="O1" t="str">
            <v>11_男</v>
          </cell>
          <cell r="P1" t="str">
            <v>12_男</v>
          </cell>
          <cell r="Q1" t="str">
            <v>13_男</v>
          </cell>
          <cell r="R1" t="str">
            <v>14_男</v>
          </cell>
          <cell r="S1" t="str">
            <v>15_男</v>
          </cell>
          <cell r="T1" t="str">
            <v>16_男</v>
          </cell>
          <cell r="U1" t="str">
            <v>17_男</v>
          </cell>
          <cell r="V1" t="str">
            <v>18_男</v>
          </cell>
          <cell r="W1" t="str">
            <v>19_男</v>
          </cell>
          <cell r="X1" t="str">
            <v>20_男</v>
          </cell>
          <cell r="Y1" t="str">
            <v>21_男</v>
          </cell>
          <cell r="Z1" t="str">
            <v>22_男</v>
          </cell>
          <cell r="AA1" t="str">
            <v>23_男</v>
          </cell>
          <cell r="AB1" t="str">
            <v>24_男</v>
          </cell>
          <cell r="AC1" t="str">
            <v>25_男</v>
          </cell>
          <cell r="AD1" t="str">
            <v>26_男</v>
          </cell>
          <cell r="AE1" t="str">
            <v>27_男</v>
          </cell>
          <cell r="AF1" t="str">
            <v>28_男</v>
          </cell>
          <cell r="AG1" t="str">
            <v>29_男</v>
          </cell>
          <cell r="AH1" t="str">
            <v>30_男</v>
          </cell>
          <cell r="AI1" t="str">
            <v>31_男</v>
          </cell>
          <cell r="AJ1" t="str">
            <v>32_男</v>
          </cell>
          <cell r="AK1" t="str">
            <v>33_男</v>
          </cell>
          <cell r="AL1" t="str">
            <v>34_男</v>
          </cell>
          <cell r="AM1" t="str">
            <v>35_男</v>
          </cell>
          <cell r="AN1" t="str">
            <v>36_男</v>
          </cell>
          <cell r="AO1" t="str">
            <v>37_男</v>
          </cell>
          <cell r="AP1" t="str">
            <v>38_男</v>
          </cell>
          <cell r="AQ1" t="str">
            <v>39_男</v>
          </cell>
          <cell r="AR1" t="str">
            <v>40_男</v>
          </cell>
          <cell r="AS1" t="str">
            <v>41_男</v>
          </cell>
          <cell r="AT1" t="str">
            <v>42_男</v>
          </cell>
          <cell r="AU1" t="str">
            <v>43_男</v>
          </cell>
          <cell r="AV1" t="str">
            <v>44_男</v>
          </cell>
          <cell r="AW1" t="str">
            <v>45_男</v>
          </cell>
          <cell r="AX1" t="str">
            <v>46_男</v>
          </cell>
          <cell r="AY1" t="str">
            <v>47_男</v>
          </cell>
          <cell r="AZ1" t="str">
            <v>48_男</v>
          </cell>
          <cell r="BA1" t="str">
            <v>49_男</v>
          </cell>
          <cell r="BB1" t="str">
            <v>50_男</v>
          </cell>
          <cell r="BC1" t="str">
            <v>51_男</v>
          </cell>
          <cell r="BD1" t="str">
            <v>52_男</v>
          </cell>
          <cell r="BE1" t="str">
            <v>53_男</v>
          </cell>
          <cell r="BF1" t="str">
            <v>54_男</v>
          </cell>
          <cell r="BG1" t="str">
            <v>55_男</v>
          </cell>
          <cell r="BH1" t="str">
            <v>56_男</v>
          </cell>
          <cell r="BI1" t="str">
            <v>57_男</v>
          </cell>
          <cell r="BJ1" t="str">
            <v>58_男</v>
          </cell>
          <cell r="BK1" t="str">
            <v>59_男</v>
          </cell>
          <cell r="BL1" t="str">
            <v>60_男</v>
          </cell>
          <cell r="BM1" t="str">
            <v>61_男</v>
          </cell>
          <cell r="BN1" t="str">
            <v>62_男</v>
          </cell>
          <cell r="BO1" t="str">
            <v>63_男</v>
          </cell>
          <cell r="BP1" t="str">
            <v>64_男</v>
          </cell>
          <cell r="BQ1" t="str">
            <v>65_男</v>
          </cell>
          <cell r="BR1" t="str">
            <v>66_男</v>
          </cell>
          <cell r="BS1" t="str">
            <v>67_男</v>
          </cell>
          <cell r="BT1" t="str">
            <v>68_男</v>
          </cell>
          <cell r="BU1" t="str">
            <v>69_男</v>
          </cell>
          <cell r="BV1" t="str">
            <v>70_男</v>
          </cell>
          <cell r="BW1" t="str">
            <v>71_男</v>
          </cell>
          <cell r="BX1" t="str">
            <v>72_男</v>
          </cell>
          <cell r="BY1" t="str">
            <v>73_男</v>
          </cell>
          <cell r="BZ1" t="str">
            <v>74_男</v>
          </cell>
          <cell r="CA1" t="str">
            <v>75_男</v>
          </cell>
          <cell r="CB1" t="str">
            <v>76_男</v>
          </cell>
          <cell r="CC1" t="str">
            <v>77_男</v>
          </cell>
          <cell r="CD1" t="str">
            <v>78_男</v>
          </cell>
          <cell r="CE1" t="str">
            <v>79_男</v>
          </cell>
          <cell r="CF1" t="str">
            <v>80_男</v>
          </cell>
          <cell r="CG1" t="str">
            <v>81_男</v>
          </cell>
          <cell r="CH1" t="str">
            <v>82_男</v>
          </cell>
          <cell r="CI1" t="str">
            <v>83_男</v>
          </cell>
          <cell r="CJ1" t="str">
            <v>84_男</v>
          </cell>
          <cell r="CK1" t="str">
            <v>85_男</v>
          </cell>
          <cell r="CL1" t="str">
            <v>86_男</v>
          </cell>
          <cell r="CM1" t="str">
            <v>87_男</v>
          </cell>
          <cell r="CN1" t="str">
            <v>88_男</v>
          </cell>
          <cell r="CO1" t="str">
            <v>89_男</v>
          </cell>
          <cell r="CP1" t="str">
            <v>90_男</v>
          </cell>
          <cell r="CQ1" t="str">
            <v>91_男</v>
          </cell>
          <cell r="CR1" t="str">
            <v>92_男</v>
          </cell>
          <cell r="CS1" t="str">
            <v>93_男</v>
          </cell>
          <cell r="CT1" t="str">
            <v>94_男</v>
          </cell>
          <cell r="CU1" t="str">
            <v>95_男</v>
          </cell>
          <cell r="CV1" t="str">
            <v>96_男</v>
          </cell>
          <cell r="CW1" t="str">
            <v>97_男</v>
          </cell>
          <cell r="CX1" t="str">
            <v>98_男</v>
          </cell>
          <cell r="CY1" t="str">
            <v>99_男</v>
          </cell>
          <cell r="CZ1" t="str">
            <v>100_男</v>
          </cell>
          <cell r="DA1" t="str">
            <v>101_男</v>
          </cell>
          <cell r="DB1" t="str">
            <v>102_男</v>
          </cell>
          <cell r="DC1" t="str">
            <v>103_男</v>
          </cell>
          <cell r="DD1" t="str">
            <v>104_男</v>
          </cell>
          <cell r="DE1" t="str">
            <v>105_男</v>
          </cell>
          <cell r="DF1" t="str">
            <v>106以上_男</v>
          </cell>
          <cell r="DG1" t="str">
            <v>0_女</v>
          </cell>
          <cell r="DH1" t="str">
            <v>1_女</v>
          </cell>
          <cell r="DI1" t="str">
            <v>2_女</v>
          </cell>
          <cell r="DJ1" t="str">
            <v>3_女</v>
          </cell>
          <cell r="DK1" t="str">
            <v>4_女</v>
          </cell>
          <cell r="DL1" t="str">
            <v>5_女</v>
          </cell>
          <cell r="DM1" t="str">
            <v>6_女</v>
          </cell>
          <cell r="DN1" t="str">
            <v>7_女</v>
          </cell>
          <cell r="DO1" t="str">
            <v>8_女</v>
          </cell>
          <cell r="DP1" t="str">
            <v>9_女</v>
          </cell>
          <cell r="DQ1" t="str">
            <v>10_女</v>
          </cell>
          <cell r="DR1" t="str">
            <v>11_女</v>
          </cell>
          <cell r="DS1" t="str">
            <v>12_女</v>
          </cell>
          <cell r="DT1" t="str">
            <v>13_女</v>
          </cell>
          <cell r="DU1" t="str">
            <v>14_女</v>
          </cell>
          <cell r="DV1" t="str">
            <v>15_女</v>
          </cell>
          <cell r="DW1" t="str">
            <v>16_女</v>
          </cell>
          <cell r="DX1" t="str">
            <v>17_女</v>
          </cell>
          <cell r="DY1" t="str">
            <v>18_女</v>
          </cell>
          <cell r="DZ1" t="str">
            <v>19_女</v>
          </cell>
          <cell r="EA1" t="str">
            <v>20_女</v>
          </cell>
          <cell r="EB1" t="str">
            <v>21_女</v>
          </cell>
          <cell r="EC1" t="str">
            <v>22_女</v>
          </cell>
          <cell r="ED1" t="str">
            <v>23_女</v>
          </cell>
          <cell r="EE1" t="str">
            <v>24_女</v>
          </cell>
          <cell r="EF1" t="str">
            <v>25_女</v>
          </cell>
          <cell r="EG1" t="str">
            <v>26_女</v>
          </cell>
          <cell r="EH1" t="str">
            <v>27_女</v>
          </cell>
          <cell r="EI1" t="str">
            <v>28_女</v>
          </cell>
          <cell r="EJ1" t="str">
            <v>29_女</v>
          </cell>
          <cell r="EK1" t="str">
            <v>30_女</v>
          </cell>
          <cell r="EL1" t="str">
            <v>31_女</v>
          </cell>
          <cell r="EM1" t="str">
            <v>32_女</v>
          </cell>
          <cell r="EN1" t="str">
            <v>33_女</v>
          </cell>
          <cell r="EO1" t="str">
            <v>34_女</v>
          </cell>
          <cell r="EP1" t="str">
            <v>35_女</v>
          </cell>
          <cell r="EQ1" t="str">
            <v>36_女</v>
          </cell>
          <cell r="ER1" t="str">
            <v>37_女</v>
          </cell>
          <cell r="ES1" t="str">
            <v>38_女</v>
          </cell>
          <cell r="ET1" t="str">
            <v>39_女</v>
          </cell>
          <cell r="EU1" t="str">
            <v>40_女</v>
          </cell>
          <cell r="EV1" t="str">
            <v>41_女</v>
          </cell>
          <cell r="EW1" t="str">
            <v>42_女</v>
          </cell>
          <cell r="EX1" t="str">
            <v>43_女</v>
          </cell>
          <cell r="EY1" t="str">
            <v>44_女</v>
          </cell>
          <cell r="EZ1" t="str">
            <v>45_女</v>
          </cell>
          <cell r="FA1" t="str">
            <v>46_女</v>
          </cell>
          <cell r="FB1" t="str">
            <v>47_女</v>
          </cell>
          <cell r="FC1" t="str">
            <v>48_女</v>
          </cell>
          <cell r="FD1" t="str">
            <v>49_女</v>
          </cell>
          <cell r="FE1" t="str">
            <v>50_女</v>
          </cell>
          <cell r="FF1" t="str">
            <v>51_女</v>
          </cell>
          <cell r="FG1" t="str">
            <v>52_女</v>
          </cell>
          <cell r="FH1" t="str">
            <v>53_女</v>
          </cell>
          <cell r="FI1" t="str">
            <v>54_女</v>
          </cell>
          <cell r="FJ1" t="str">
            <v>55_女</v>
          </cell>
          <cell r="FK1" t="str">
            <v>56_女</v>
          </cell>
          <cell r="FL1" t="str">
            <v>57_女</v>
          </cell>
          <cell r="FM1" t="str">
            <v>58_女</v>
          </cell>
          <cell r="FN1" t="str">
            <v>59_女</v>
          </cell>
          <cell r="FO1" t="str">
            <v>60_女</v>
          </cell>
          <cell r="FP1" t="str">
            <v>61_女</v>
          </cell>
          <cell r="FQ1" t="str">
            <v>62_女</v>
          </cell>
          <cell r="FR1" t="str">
            <v>63_女</v>
          </cell>
          <cell r="FS1" t="str">
            <v>64_女</v>
          </cell>
          <cell r="FT1" t="str">
            <v>65_女</v>
          </cell>
          <cell r="FU1" t="str">
            <v>66_女</v>
          </cell>
          <cell r="FV1" t="str">
            <v>67_女</v>
          </cell>
          <cell r="FW1" t="str">
            <v>68_女</v>
          </cell>
          <cell r="FX1" t="str">
            <v>69_女</v>
          </cell>
          <cell r="FY1" t="str">
            <v>70_女</v>
          </cell>
          <cell r="FZ1" t="str">
            <v>71_女</v>
          </cell>
          <cell r="GA1" t="str">
            <v>72_女</v>
          </cell>
          <cell r="GB1" t="str">
            <v>73_女</v>
          </cell>
          <cell r="GC1" t="str">
            <v>74_女</v>
          </cell>
          <cell r="GD1" t="str">
            <v>75_女</v>
          </cell>
          <cell r="GE1" t="str">
            <v>76_女</v>
          </cell>
          <cell r="GF1" t="str">
            <v>77_女</v>
          </cell>
          <cell r="GG1" t="str">
            <v>78_女</v>
          </cell>
          <cell r="GH1" t="str">
            <v>79_女</v>
          </cell>
          <cell r="GI1" t="str">
            <v>80_女</v>
          </cell>
          <cell r="GJ1" t="str">
            <v>81_女</v>
          </cell>
          <cell r="GK1" t="str">
            <v>82_女</v>
          </cell>
          <cell r="GL1" t="str">
            <v>83_女</v>
          </cell>
          <cell r="GM1" t="str">
            <v>84_女</v>
          </cell>
          <cell r="GN1" t="str">
            <v>85_女</v>
          </cell>
          <cell r="GO1" t="str">
            <v>86_女</v>
          </cell>
          <cell r="GP1" t="str">
            <v>87_女</v>
          </cell>
          <cell r="GQ1" t="str">
            <v>88_女</v>
          </cell>
          <cell r="GR1" t="str">
            <v>89_女</v>
          </cell>
          <cell r="GS1" t="str">
            <v>90_女</v>
          </cell>
          <cell r="GT1" t="str">
            <v>91_女</v>
          </cell>
          <cell r="GU1" t="str">
            <v>92_女</v>
          </cell>
          <cell r="GV1" t="str">
            <v>93_女</v>
          </cell>
          <cell r="GW1" t="str">
            <v>94_女</v>
          </cell>
          <cell r="GX1" t="str">
            <v>95_女</v>
          </cell>
          <cell r="GY1" t="str">
            <v>96_女</v>
          </cell>
          <cell r="GZ1" t="str">
            <v>97_女</v>
          </cell>
          <cell r="HA1" t="str">
            <v>98_女</v>
          </cell>
          <cell r="HB1" t="str">
            <v>99_女</v>
          </cell>
          <cell r="HC1" t="str">
            <v>100_女</v>
          </cell>
          <cell r="HD1" t="str">
            <v>101_女</v>
          </cell>
          <cell r="HE1" t="str">
            <v>102_女</v>
          </cell>
          <cell r="HF1" t="str">
            <v>103_女</v>
          </cell>
          <cell r="HG1" t="str">
            <v>104_女</v>
          </cell>
          <cell r="HH1" t="str">
            <v>105_女</v>
          </cell>
          <cell r="HI1" t="str">
            <v>106_女</v>
          </cell>
          <cell r="HJ1" t="str">
            <v>107_女</v>
          </cell>
          <cell r="HK1" t="str">
            <v>0_全体</v>
          </cell>
          <cell r="HL1" t="str">
            <v>1_全体</v>
          </cell>
          <cell r="HM1" t="str">
            <v>2_全体</v>
          </cell>
          <cell r="HN1" t="str">
            <v>3_全体</v>
          </cell>
          <cell r="HO1" t="str">
            <v>4_全体</v>
          </cell>
          <cell r="HP1" t="str">
            <v>5_全体</v>
          </cell>
          <cell r="HQ1" t="str">
            <v>6_全体</v>
          </cell>
          <cell r="HR1" t="str">
            <v>7_全体</v>
          </cell>
          <cell r="HS1" t="str">
            <v>8_全体</v>
          </cell>
          <cell r="HT1" t="str">
            <v>9_全体</v>
          </cell>
          <cell r="HU1" t="str">
            <v>10_全体</v>
          </cell>
          <cell r="HV1" t="str">
            <v>11_全体</v>
          </cell>
          <cell r="HW1" t="str">
            <v>12_全体</v>
          </cell>
          <cell r="HX1" t="str">
            <v>13_全体</v>
          </cell>
          <cell r="HY1" t="str">
            <v>14_全体</v>
          </cell>
          <cell r="HZ1" t="str">
            <v>15_全体</v>
          </cell>
          <cell r="IA1" t="str">
            <v>16_全体</v>
          </cell>
          <cell r="IB1" t="str">
            <v>17_全体</v>
          </cell>
          <cell r="IC1" t="str">
            <v>18_全体</v>
          </cell>
          <cell r="ID1" t="str">
            <v>19_全体</v>
          </cell>
          <cell r="IE1" t="str">
            <v>20_全体</v>
          </cell>
          <cell r="IF1" t="str">
            <v>21_全体</v>
          </cell>
          <cell r="IG1" t="str">
            <v>22_全体</v>
          </cell>
          <cell r="IH1" t="str">
            <v>23_全体</v>
          </cell>
          <cell r="II1" t="str">
            <v>24_全体</v>
          </cell>
          <cell r="IJ1" t="str">
            <v>25_全体</v>
          </cell>
          <cell r="IK1" t="str">
            <v>26_全体</v>
          </cell>
          <cell r="IL1" t="str">
            <v>27_全体</v>
          </cell>
          <cell r="IM1" t="str">
            <v>28_全体</v>
          </cell>
          <cell r="IN1" t="str">
            <v>29_全体</v>
          </cell>
          <cell r="IO1" t="str">
            <v>30_全体</v>
          </cell>
          <cell r="IP1" t="str">
            <v>31_全体</v>
          </cell>
          <cell r="IQ1" t="str">
            <v>32_全体</v>
          </cell>
          <cell r="IR1" t="str">
            <v>33_全体</v>
          </cell>
          <cell r="IS1" t="str">
            <v>34_全体</v>
          </cell>
          <cell r="IT1" t="str">
            <v>35_全体</v>
          </cell>
          <cell r="IU1" t="str">
            <v>36_全体</v>
          </cell>
          <cell r="IV1" t="str">
            <v>37_全体</v>
          </cell>
          <cell r="IW1" t="str">
            <v>38_全体</v>
          </cell>
          <cell r="IX1" t="str">
            <v>39_全体</v>
          </cell>
          <cell r="IY1" t="str">
            <v>40_全体</v>
          </cell>
          <cell r="IZ1" t="str">
            <v>41_全体</v>
          </cell>
          <cell r="JA1" t="str">
            <v>42_全体</v>
          </cell>
          <cell r="JB1" t="str">
            <v>43_全体</v>
          </cell>
          <cell r="JC1" t="str">
            <v>44_全体</v>
          </cell>
          <cell r="JD1" t="str">
            <v>45_全体</v>
          </cell>
          <cell r="JE1" t="str">
            <v>46_全体</v>
          </cell>
          <cell r="JF1" t="str">
            <v>47_全体</v>
          </cell>
          <cell r="JG1" t="str">
            <v>48_全体</v>
          </cell>
          <cell r="JH1" t="str">
            <v>49_全体</v>
          </cell>
          <cell r="JI1" t="str">
            <v>50_全体</v>
          </cell>
          <cell r="JJ1" t="str">
            <v>51_全体</v>
          </cell>
          <cell r="JK1" t="str">
            <v>52_全体</v>
          </cell>
          <cell r="JL1" t="str">
            <v>53_全体</v>
          </cell>
          <cell r="JM1" t="str">
            <v>54_全体</v>
          </cell>
          <cell r="JN1" t="str">
            <v>55_全体</v>
          </cell>
          <cell r="JO1" t="str">
            <v>56_全体</v>
          </cell>
          <cell r="JP1" t="str">
            <v>57_全体</v>
          </cell>
          <cell r="JQ1" t="str">
            <v>58_全体</v>
          </cell>
          <cell r="JR1" t="str">
            <v>59_全体</v>
          </cell>
          <cell r="JS1" t="str">
            <v>60_全体</v>
          </cell>
          <cell r="JT1" t="str">
            <v>61_全体</v>
          </cell>
          <cell r="JU1" t="str">
            <v>62_全体</v>
          </cell>
          <cell r="JV1" t="str">
            <v>63_全体</v>
          </cell>
          <cell r="JW1" t="str">
            <v>64_全体</v>
          </cell>
          <cell r="JX1" t="str">
            <v>65_全体</v>
          </cell>
          <cell r="JY1" t="str">
            <v>66_全体</v>
          </cell>
          <cell r="JZ1" t="str">
            <v>67_全体</v>
          </cell>
          <cell r="KA1" t="str">
            <v>68_全体</v>
          </cell>
          <cell r="KB1" t="str">
            <v>69_全体</v>
          </cell>
          <cell r="KC1" t="str">
            <v>70_全体</v>
          </cell>
          <cell r="KD1" t="str">
            <v>71_全体</v>
          </cell>
          <cell r="KE1" t="str">
            <v>72_全体</v>
          </cell>
          <cell r="KF1" t="str">
            <v>73_全体</v>
          </cell>
          <cell r="KG1" t="str">
            <v>74_全体</v>
          </cell>
          <cell r="KH1" t="str">
            <v>75_全体</v>
          </cell>
          <cell r="KI1" t="str">
            <v>76_全体</v>
          </cell>
          <cell r="KJ1" t="str">
            <v>77_全体</v>
          </cell>
          <cell r="KK1" t="str">
            <v>78_全体</v>
          </cell>
          <cell r="KL1" t="str">
            <v>79_全体</v>
          </cell>
          <cell r="KM1" t="str">
            <v>80_全体</v>
          </cell>
          <cell r="KN1" t="str">
            <v>81_全体</v>
          </cell>
          <cell r="KO1" t="str">
            <v>82_全体</v>
          </cell>
          <cell r="KP1" t="str">
            <v>83_全体</v>
          </cell>
          <cell r="KQ1" t="str">
            <v>84_全体</v>
          </cell>
          <cell r="KR1" t="str">
            <v>85_全体</v>
          </cell>
          <cell r="KS1" t="str">
            <v>86_全体</v>
          </cell>
          <cell r="KT1" t="str">
            <v>87_全体</v>
          </cell>
          <cell r="KU1" t="str">
            <v>88_全体</v>
          </cell>
          <cell r="KV1" t="str">
            <v>89_全体</v>
          </cell>
          <cell r="KW1" t="str">
            <v>90_全体</v>
          </cell>
          <cell r="KX1" t="str">
            <v>91_全体</v>
          </cell>
          <cell r="KY1" t="str">
            <v>92_全体</v>
          </cell>
          <cell r="KZ1" t="str">
            <v>93_全体</v>
          </cell>
          <cell r="LA1" t="str">
            <v>94_全体</v>
          </cell>
          <cell r="LB1" t="str">
            <v>95_全体</v>
          </cell>
          <cell r="LC1" t="str">
            <v>96_全体</v>
          </cell>
          <cell r="LD1" t="str">
            <v>97_全体</v>
          </cell>
          <cell r="LE1" t="str">
            <v>98_全体</v>
          </cell>
          <cell r="LF1" t="str">
            <v>99_全体</v>
          </cell>
          <cell r="LG1" t="str">
            <v>100_全体</v>
          </cell>
          <cell r="LH1" t="str">
            <v>101_全体</v>
          </cell>
          <cell r="LI1" t="str">
            <v>102_全体</v>
          </cell>
          <cell r="LJ1" t="str">
            <v>103_全体</v>
          </cell>
          <cell r="LK1" t="str">
            <v>104_全体</v>
          </cell>
          <cell r="LL1" t="str">
            <v>105_全体</v>
          </cell>
          <cell r="LM1" t="str">
            <v>106_全体</v>
          </cell>
          <cell r="LN1" t="str">
            <v>107_全体</v>
          </cell>
          <cell r="LO1" t="str">
            <v>年代0-4_男</v>
          </cell>
          <cell r="LP1" t="str">
            <v>年代5-9_男</v>
          </cell>
          <cell r="LQ1" t="str">
            <v>年代10-14_男</v>
          </cell>
          <cell r="LR1" t="str">
            <v>年代15-19_男</v>
          </cell>
          <cell r="LS1" t="str">
            <v>年代20-24_男</v>
          </cell>
          <cell r="LT1" t="str">
            <v>年代25-29_男</v>
          </cell>
          <cell r="LU1" t="str">
            <v>年代30-34_男</v>
          </cell>
          <cell r="LV1" t="str">
            <v>年代35-39_男</v>
          </cell>
          <cell r="LW1" t="str">
            <v>年代40-44_男</v>
          </cell>
          <cell r="LX1" t="str">
            <v>年代45-49_男</v>
          </cell>
          <cell r="LY1" t="str">
            <v>年代50-54_男</v>
          </cell>
          <cell r="LZ1" t="str">
            <v>年代55-59_男</v>
          </cell>
          <cell r="MA1" t="str">
            <v>年代60-64_男</v>
          </cell>
          <cell r="MB1" t="str">
            <v>年代65-69_男</v>
          </cell>
          <cell r="MC1" t="str">
            <v>年代70-74_男</v>
          </cell>
          <cell r="MD1" t="str">
            <v>年代75-79_男</v>
          </cell>
          <cell r="ME1" t="str">
            <v>年代80-84_男</v>
          </cell>
          <cell r="MF1" t="str">
            <v>年代85-89_男</v>
          </cell>
          <cell r="MG1" t="str">
            <v>年代90-94_男</v>
          </cell>
          <cell r="MH1" t="str">
            <v>年代95-99_男</v>
          </cell>
          <cell r="MI1" t="str">
            <v>年代100-104_男</v>
          </cell>
          <cell r="MJ1" t="str">
            <v>年代0-4_女</v>
          </cell>
          <cell r="MK1" t="str">
            <v>年代5-9_女</v>
          </cell>
          <cell r="ML1" t="str">
            <v>年代10-14_女</v>
          </cell>
          <cell r="MM1" t="str">
            <v>年代15-19_女</v>
          </cell>
          <cell r="MN1" t="str">
            <v>年代20-24_女</v>
          </cell>
          <cell r="MO1" t="str">
            <v>年代25-29_女</v>
          </cell>
          <cell r="MP1" t="str">
            <v>年代30-34_女</v>
          </cell>
          <cell r="MQ1" t="str">
            <v>年代35-39_女</v>
          </cell>
          <cell r="MR1" t="str">
            <v>年代40-44_女</v>
          </cell>
          <cell r="MS1" t="str">
            <v>年代45-49_女</v>
          </cell>
          <cell r="MT1" t="str">
            <v>年代50-54_女</v>
          </cell>
          <cell r="MU1" t="str">
            <v>年代55-59_女</v>
          </cell>
          <cell r="MV1" t="str">
            <v>年代60-64_女</v>
          </cell>
          <cell r="MW1" t="str">
            <v>年代65-69_女</v>
          </cell>
          <cell r="MX1" t="str">
            <v>年代70-74_女</v>
          </cell>
          <cell r="MY1" t="str">
            <v>年代75-79_女</v>
          </cell>
          <cell r="MZ1" t="str">
            <v>年代80-84_女</v>
          </cell>
          <cell r="NA1" t="str">
            <v>年代85-89_女</v>
          </cell>
          <cell r="NB1" t="str">
            <v>年代90-94_女</v>
          </cell>
          <cell r="NC1" t="str">
            <v>年代95-99_女</v>
          </cell>
          <cell r="ND1" t="str">
            <v>年代100-104_女</v>
          </cell>
          <cell r="NE1" t="str">
            <v>年代105-109_女</v>
          </cell>
          <cell r="NF1" t="str">
            <v>年代0-4_全体</v>
          </cell>
          <cell r="NG1" t="str">
            <v>年代5-9_全体</v>
          </cell>
          <cell r="NH1" t="str">
            <v>年代10-14_全体</v>
          </cell>
          <cell r="NI1" t="str">
            <v>年代15-19_全体</v>
          </cell>
          <cell r="NJ1" t="str">
            <v>年代20-24_全体</v>
          </cell>
          <cell r="NK1" t="str">
            <v>年代25-29_全体</v>
          </cell>
          <cell r="NL1" t="str">
            <v>年代30-34_全体</v>
          </cell>
          <cell r="NM1" t="str">
            <v>年代35-39_全体</v>
          </cell>
          <cell r="NN1" t="str">
            <v>年代40-44_全体</v>
          </cell>
          <cell r="NO1" t="str">
            <v>年代45-49_全体</v>
          </cell>
          <cell r="NP1" t="str">
            <v>年代50-54_全体</v>
          </cell>
          <cell r="NQ1" t="str">
            <v>年代55-59_全体</v>
          </cell>
          <cell r="NR1" t="str">
            <v>年代60-64_全体</v>
          </cell>
          <cell r="NS1" t="str">
            <v>年代65-69_全体</v>
          </cell>
          <cell r="NT1" t="str">
            <v>年代70-74_全体</v>
          </cell>
          <cell r="NU1" t="str">
            <v>年代75-79_全体</v>
          </cell>
          <cell r="NV1" t="str">
            <v>年代80-84_全体</v>
          </cell>
          <cell r="NW1" t="str">
            <v>年代85-89_全体</v>
          </cell>
          <cell r="NX1" t="str">
            <v>年代90-94_全体</v>
          </cell>
          <cell r="NY1" t="str">
            <v>年代95-99_全体</v>
          </cell>
          <cell r="NZ1" t="str">
            <v>年代100-104_全体</v>
          </cell>
          <cell r="OA1" t="str">
            <v>年代105-109_全体</v>
          </cell>
          <cell r="OB1" t="str">
            <v>65以上_男</v>
          </cell>
          <cell r="OC1" t="str">
            <v>65以上_女</v>
          </cell>
          <cell r="OD1" t="str">
            <v>65以上_全体</v>
          </cell>
          <cell r="OE1" t="str">
            <v>65以上_割合</v>
          </cell>
          <cell r="OF1" t="str">
            <v>合計_男</v>
          </cell>
          <cell r="OG1" t="str">
            <v>合計_女</v>
          </cell>
          <cell r="OH1" t="str">
            <v>合計_総合計</v>
          </cell>
          <cell r="OI1" t="str">
            <v>世帯数</v>
          </cell>
          <cell r="OJ1" t="str">
            <v>平均_男</v>
          </cell>
          <cell r="OK1" t="str">
            <v>平均_女</v>
          </cell>
          <cell r="OL1" t="str">
            <v>平均_全体</v>
          </cell>
          <cell r="OM1" t="str">
            <v>作成日</v>
          </cell>
          <cell r="ON1" t="str">
            <v>集計対象</v>
          </cell>
        </row>
        <row r="2">
          <cell r="A2" t="str">
            <v>大阪府摂津市</v>
          </cell>
          <cell r="B2" t="str">
            <v>全体</v>
          </cell>
          <cell r="C2" t="str">
            <v>令和元年11月30日</v>
          </cell>
          <cell r="D2">
            <v>386</v>
          </cell>
          <cell r="E2">
            <v>410</v>
          </cell>
          <cell r="F2">
            <v>388</v>
          </cell>
          <cell r="G2">
            <v>415</v>
          </cell>
          <cell r="H2">
            <v>370</v>
          </cell>
          <cell r="I2">
            <v>373</v>
          </cell>
          <cell r="J2">
            <v>372</v>
          </cell>
          <cell r="K2">
            <v>354</v>
          </cell>
          <cell r="L2">
            <v>361</v>
          </cell>
          <cell r="M2">
            <v>367</v>
          </cell>
          <cell r="N2">
            <v>399</v>
          </cell>
          <cell r="O2">
            <v>335</v>
          </cell>
          <cell r="P2">
            <v>355</v>
          </cell>
          <cell r="Q2">
            <v>405</v>
          </cell>
          <cell r="R2">
            <v>401</v>
          </cell>
          <cell r="S2">
            <v>403</v>
          </cell>
          <cell r="T2">
            <v>366</v>
          </cell>
          <cell r="U2">
            <v>402</v>
          </cell>
          <cell r="V2">
            <v>452</v>
          </cell>
          <cell r="W2">
            <v>445</v>
          </cell>
          <cell r="X2">
            <v>485</v>
          </cell>
          <cell r="Y2">
            <v>490</v>
          </cell>
          <cell r="Z2">
            <v>467</v>
          </cell>
          <cell r="AA2">
            <v>504</v>
          </cell>
          <cell r="AB2">
            <v>506</v>
          </cell>
          <cell r="AC2">
            <v>518</v>
          </cell>
          <cell r="AD2">
            <v>533</v>
          </cell>
          <cell r="AE2">
            <v>477</v>
          </cell>
          <cell r="AF2">
            <v>553</v>
          </cell>
          <cell r="AG2">
            <v>526</v>
          </cell>
          <cell r="AH2">
            <v>528</v>
          </cell>
          <cell r="AI2">
            <v>600</v>
          </cell>
          <cell r="AJ2">
            <v>523</v>
          </cell>
          <cell r="AK2">
            <v>536</v>
          </cell>
          <cell r="AL2">
            <v>578</v>
          </cell>
          <cell r="AM2">
            <v>580</v>
          </cell>
          <cell r="AN2">
            <v>567</v>
          </cell>
          <cell r="AO2">
            <v>593</v>
          </cell>
          <cell r="AP2">
            <v>566</v>
          </cell>
          <cell r="AQ2">
            <v>580</v>
          </cell>
          <cell r="AR2">
            <v>559</v>
          </cell>
          <cell r="AS2">
            <v>611</v>
          </cell>
          <cell r="AT2">
            <v>630</v>
          </cell>
          <cell r="AU2">
            <v>693</v>
          </cell>
          <cell r="AV2">
            <v>700</v>
          </cell>
          <cell r="AW2">
            <v>804</v>
          </cell>
          <cell r="AX2">
            <v>893</v>
          </cell>
          <cell r="AY2">
            <v>815</v>
          </cell>
          <cell r="AZ2">
            <v>799</v>
          </cell>
          <cell r="BA2">
            <v>740</v>
          </cell>
          <cell r="BB2">
            <v>738</v>
          </cell>
          <cell r="BC2">
            <v>673</v>
          </cell>
          <cell r="BD2">
            <v>688</v>
          </cell>
          <cell r="BE2">
            <v>499</v>
          </cell>
          <cell r="BF2">
            <v>565</v>
          </cell>
          <cell r="BG2">
            <v>514</v>
          </cell>
          <cell r="BH2">
            <v>490</v>
          </cell>
          <cell r="BI2">
            <v>482</v>
          </cell>
          <cell r="BJ2">
            <v>438</v>
          </cell>
          <cell r="BK2">
            <v>418</v>
          </cell>
          <cell r="BL2">
            <v>410</v>
          </cell>
          <cell r="BM2">
            <v>457</v>
          </cell>
          <cell r="BN2">
            <v>380</v>
          </cell>
          <cell r="BO2">
            <v>403</v>
          </cell>
          <cell r="BP2">
            <v>436</v>
          </cell>
          <cell r="BQ2">
            <v>426</v>
          </cell>
          <cell r="BR2">
            <v>404</v>
          </cell>
          <cell r="BS2">
            <v>485</v>
          </cell>
          <cell r="BT2">
            <v>526</v>
          </cell>
          <cell r="BU2">
            <v>564</v>
          </cell>
          <cell r="BV2">
            <v>666</v>
          </cell>
          <cell r="BW2">
            <v>656</v>
          </cell>
          <cell r="BX2">
            <v>659</v>
          </cell>
          <cell r="BY2">
            <v>400</v>
          </cell>
          <cell r="BZ2">
            <v>396</v>
          </cell>
          <cell r="CA2">
            <v>525</v>
          </cell>
          <cell r="CB2">
            <v>482</v>
          </cell>
          <cell r="CC2">
            <v>488</v>
          </cell>
          <cell r="CD2">
            <v>505</v>
          </cell>
          <cell r="CE2">
            <v>403</v>
          </cell>
          <cell r="CF2">
            <v>347</v>
          </cell>
          <cell r="CG2">
            <v>295</v>
          </cell>
          <cell r="CH2">
            <v>301</v>
          </cell>
          <cell r="CI2">
            <v>269</v>
          </cell>
          <cell r="CJ2">
            <v>227</v>
          </cell>
          <cell r="CK2">
            <v>146</v>
          </cell>
          <cell r="CL2">
            <v>127</v>
          </cell>
          <cell r="CM2">
            <v>143</v>
          </cell>
          <cell r="CN2">
            <v>90</v>
          </cell>
          <cell r="CO2">
            <v>62</v>
          </cell>
          <cell r="CP2">
            <v>56</v>
          </cell>
          <cell r="CQ2">
            <v>47</v>
          </cell>
          <cell r="CR2">
            <v>29</v>
          </cell>
          <cell r="CS2">
            <v>26</v>
          </cell>
          <cell r="CT2">
            <v>17</v>
          </cell>
          <cell r="CU2">
            <v>10</v>
          </cell>
          <cell r="CV2">
            <v>4</v>
          </cell>
          <cell r="CW2">
            <v>8</v>
          </cell>
          <cell r="CX2">
            <v>3</v>
          </cell>
          <cell r="CY2">
            <v>3</v>
          </cell>
          <cell r="CZ2">
            <v>0</v>
          </cell>
          <cell r="DA2">
            <v>0</v>
          </cell>
          <cell r="DB2">
            <v>0</v>
          </cell>
          <cell r="DC2">
            <v>0</v>
          </cell>
          <cell r="DD2">
            <v>1</v>
          </cell>
          <cell r="DE2">
            <v>0</v>
          </cell>
          <cell r="DF2">
            <v>0</v>
          </cell>
          <cell r="DG2">
            <v>371</v>
          </cell>
          <cell r="DH2">
            <v>411</v>
          </cell>
          <cell r="DI2">
            <v>349</v>
          </cell>
          <cell r="DJ2">
            <v>392</v>
          </cell>
          <cell r="DK2">
            <v>338</v>
          </cell>
          <cell r="DL2">
            <v>398</v>
          </cell>
          <cell r="DM2">
            <v>314</v>
          </cell>
          <cell r="DN2">
            <v>365</v>
          </cell>
          <cell r="DO2">
            <v>359</v>
          </cell>
          <cell r="DP2">
            <v>367</v>
          </cell>
          <cell r="DQ2">
            <v>341</v>
          </cell>
          <cell r="DR2">
            <v>347</v>
          </cell>
          <cell r="DS2">
            <v>386</v>
          </cell>
          <cell r="DT2">
            <v>337</v>
          </cell>
          <cell r="DU2">
            <v>385</v>
          </cell>
          <cell r="DV2">
            <v>359</v>
          </cell>
          <cell r="DW2">
            <v>361</v>
          </cell>
          <cell r="DX2">
            <v>408</v>
          </cell>
          <cell r="DY2">
            <v>386</v>
          </cell>
          <cell r="DZ2">
            <v>419</v>
          </cell>
          <cell r="EA2">
            <v>438</v>
          </cell>
          <cell r="EB2">
            <v>427</v>
          </cell>
          <cell r="EC2">
            <v>463</v>
          </cell>
          <cell r="ED2">
            <v>479</v>
          </cell>
          <cell r="EE2">
            <v>429</v>
          </cell>
          <cell r="EF2">
            <v>451</v>
          </cell>
          <cell r="EG2">
            <v>473</v>
          </cell>
          <cell r="EH2">
            <v>488</v>
          </cell>
          <cell r="EI2">
            <v>502</v>
          </cell>
          <cell r="EJ2">
            <v>547</v>
          </cell>
          <cell r="EK2">
            <v>504</v>
          </cell>
          <cell r="EL2">
            <v>560</v>
          </cell>
          <cell r="EM2">
            <v>520</v>
          </cell>
          <cell r="EN2">
            <v>532</v>
          </cell>
          <cell r="EO2">
            <v>546</v>
          </cell>
          <cell r="EP2">
            <v>494</v>
          </cell>
          <cell r="EQ2">
            <v>546</v>
          </cell>
          <cell r="ER2">
            <v>567</v>
          </cell>
          <cell r="ES2">
            <v>556</v>
          </cell>
          <cell r="ET2">
            <v>524</v>
          </cell>
          <cell r="EU2">
            <v>566</v>
          </cell>
          <cell r="EV2">
            <v>565</v>
          </cell>
          <cell r="EW2">
            <v>596</v>
          </cell>
          <cell r="EX2">
            <v>625</v>
          </cell>
          <cell r="EY2">
            <v>676</v>
          </cell>
          <cell r="EZ2">
            <v>708</v>
          </cell>
          <cell r="FA2">
            <v>754</v>
          </cell>
          <cell r="FB2">
            <v>769</v>
          </cell>
          <cell r="FC2">
            <v>731</v>
          </cell>
          <cell r="FD2">
            <v>702</v>
          </cell>
          <cell r="FE2">
            <v>600</v>
          </cell>
          <cell r="FF2">
            <v>616</v>
          </cell>
          <cell r="FG2">
            <v>597</v>
          </cell>
          <cell r="FH2">
            <v>391</v>
          </cell>
          <cell r="FI2">
            <v>561</v>
          </cell>
          <cell r="FJ2">
            <v>473</v>
          </cell>
          <cell r="FK2">
            <v>467</v>
          </cell>
          <cell r="FL2">
            <v>433</v>
          </cell>
          <cell r="FM2">
            <v>420</v>
          </cell>
          <cell r="FN2">
            <v>395</v>
          </cell>
          <cell r="FO2">
            <v>397</v>
          </cell>
          <cell r="FP2">
            <v>421</v>
          </cell>
          <cell r="FQ2">
            <v>393</v>
          </cell>
          <cell r="FR2">
            <v>403</v>
          </cell>
          <cell r="FS2">
            <v>437</v>
          </cell>
          <cell r="FT2">
            <v>456</v>
          </cell>
          <cell r="FU2">
            <v>493</v>
          </cell>
          <cell r="FV2">
            <v>533</v>
          </cell>
          <cell r="FW2">
            <v>582</v>
          </cell>
          <cell r="FX2">
            <v>625</v>
          </cell>
          <cell r="FY2">
            <v>766</v>
          </cell>
          <cell r="FZ2">
            <v>779</v>
          </cell>
          <cell r="GA2">
            <v>745</v>
          </cell>
          <cell r="GB2">
            <v>489</v>
          </cell>
          <cell r="GC2">
            <v>493</v>
          </cell>
          <cell r="GD2">
            <v>604</v>
          </cell>
          <cell r="GE2">
            <v>637</v>
          </cell>
          <cell r="GF2">
            <v>610</v>
          </cell>
          <cell r="GG2">
            <v>590</v>
          </cell>
          <cell r="GH2">
            <v>506</v>
          </cell>
          <cell r="GI2">
            <v>379</v>
          </cell>
          <cell r="GJ2">
            <v>391</v>
          </cell>
          <cell r="GK2">
            <v>348</v>
          </cell>
          <cell r="GL2">
            <v>309</v>
          </cell>
          <cell r="GM2">
            <v>311</v>
          </cell>
          <cell r="GN2">
            <v>267</v>
          </cell>
          <cell r="GO2">
            <v>252</v>
          </cell>
          <cell r="GP2">
            <v>196</v>
          </cell>
          <cell r="GQ2">
            <v>170</v>
          </cell>
          <cell r="GR2">
            <v>133</v>
          </cell>
          <cell r="GS2">
            <v>152</v>
          </cell>
          <cell r="GT2">
            <v>113</v>
          </cell>
          <cell r="GU2">
            <v>96</v>
          </cell>
          <cell r="GV2">
            <v>75</v>
          </cell>
          <cell r="GW2">
            <v>66</v>
          </cell>
          <cell r="GX2">
            <v>52</v>
          </cell>
          <cell r="GY2">
            <v>34</v>
          </cell>
          <cell r="GZ2">
            <v>33</v>
          </cell>
          <cell r="HA2">
            <v>19</v>
          </cell>
          <cell r="HB2">
            <v>22</v>
          </cell>
          <cell r="HC2">
            <v>10</v>
          </cell>
          <cell r="HD2">
            <v>3</v>
          </cell>
          <cell r="HE2">
            <v>2</v>
          </cell>
          <cell r="HF2">
            <v>1</v>
          </cell>
          <cell r="HG2">
            <v>3</v>
          </cell>
          <cell r="HH2">
            <v>1</v>
          </cell>
          <cell r="HI2">
            <v>0</v>
          </cell>
          <cell r="HJ2">
            <v>1</v>
          </cell>
          <cell r="HK2">
            <v>757</v>
          </cell>
          <cell r="HL2">
            <v>821</v>
          </cell>
          <cell r="HM2">
            <v>737</v>
          </cell>
          <cell r="HN2">
            <v>807</v>
          </cell>
          <cell r="HO2">
            <v>708</v>
          </cell>
          <cell r="HP2">
            <v>771</v>
          </cell>
          <cell r="HQ2">
            <v>686</v>
          </cell>
          <cell r="HR2">
            <v>719</v>
          </cell>
          <cell r="HS2">
            <v>720</v>
          </cell>
          <cell r="HT2">
            <v>734</v>
          </cell>
          <cell r="HU2">
            <v>740</v>
          </cell>
          <cell r="HV2">
            <v>682</v>
          </cell>
          <cell r="HW2">
            <v>741</v>
          </cell>
          <cell r="HX2">
            <v>742</v>
          </cell>
          <cell r="HY2">
            <v>786</v>
          </cell>
          <cell r="HZ2">
            <v>762</v>
          </cell>
          <cell r="IA2">
            <v>727</v>
          </cell>
          <cell r="IB2">
            <v>810</v>
          </cell>
          <cell r="IC2">
            <v>838</v>
          </cell>
          <cell r="ID2">
            <v>864</v>
          </cell>
          <cell r="IE2">
            <v>923</v>
          </cell>
          <cell r="IF2">
            <v>917</v>
          </cell>
          <cell r="IG2">
            <v>930</v>
          </cell>
          <cell r="IH2">
            <v>983</v>
          </cell>
          <cell r="II2">
            <v>935</v>
          </cell>
          <cell r="IJ2">
            <v>969</v>
          </cell>
          <cell r="IK2">
            <v>1006</v>
          </cell>
          <cell r="IL2">
            <v>965</v>
          </cell>
          <cell r="IM2">
            <v>1055</v>
          </cell>
          <cell r="IN2">
            <v>1073</v>
          </cell>
          <cell r="IO2">
            <v>1032</v>
          </cell>
          <cell r="IP2">
            <v>1160</v>
          </cell>
          <cell r="IQ2">
            <v>1043</v>
          </cell>
          <cell r="IR2">
            <v>1068</v>
          </cell>
          <cell r="IS2">
            <v>1124</v>
          </cell>
          <cell r="IT2">
            <v>1074</v>
          </cell>
          <cell r="IU2">
            <v>1113</v>
          </cell>
          <cell r="IV2">
            <v>1160</v>
          </cell>
          <cell r="IW2">
            <v>1122</v>
          </cell>
          <cell r="IX2">
            <v>1104</v>
          </cell>
          <cell r="IY2">
            <v>1125</v>
          </cell>
          <cell r="IZ2">
            <v>1176</v>
          </cell>
          <cell r="JA2">
            <v>1226</v>
          </cell>
          <cell r="JB2">
            <v>1318</v>
          </cell>
          <cell r="JC2">
            <v>1376</v>
          </cell>
          <cell r="JD2">
            <v>1512</v>
          </cell>
          <cell r="JE2">
            <v>1647</v>
          </cell>
          <cell r="JF2">
            <v>1584</v>
          </cell>
          <cell r="JG2">
            <v>1530</v>
          </cell>
          <cell r="JH2">
            <v>1442</v>
          </cell>
          <cell r="JI2">
            <v>1338</v>
          </cell>
          <cell r="JJ2">
            <v>1289</v>
          </cell>
          <cell r="JK2">
            <v>1285</v>
          </cell>
          <cell r="JL2">
            <v>890</v>
          </cell>
          <cell r="JM2">
            <v>1126</v>
          </cell>
          <cell r="JN2">
            <v>987</v>
          </cell>
          <cell r="JO2">
            <v>957</v>
          </cell>
          <cell r="JP2">
            <v>915</v>
          </cell>
          <cell r="JQ2">
            <v>858</v>
          </cell>
          <cell r="JR2">
            <v>813</v>
          </cell>
          <cell r="JS2">
            <v>807</v>
          </cell>
          <cell r="JT2">
            <v>878</v>
          </cell>
          <cell r="JU2">
            <v>773</v>
          </cell>
          <cell r="JV2">
            <v>806</v>
          </cell>
          <cell r="JW2">
            <v>873</v>
          </cell>
          <cell r="JX2">
            <v>882</v>
          </cell>
          <cell r="JY2">
            <v>897</v>
          </cell>
          <cell r="JZ2">
            <v>1018</v>
          </cell>
          <cell r="KA2">
            <v>1108</v>
          </cell>
          <cell r="KB2">
            <v>1189</v>
          </cell>
          <cell r="KC2">
            <v>1432</v>
          </cell>
          <cell r="KD2">
            <v>1435</v>
          </cell>
          <cell r="KE2">
            <v>1404</v>
          </cell>
          <cell r="KF2">
            <v>889</v>
          </cell>
          <cell r="KG2">
            <v>889</v>
          </cell>
          <cell r="KH2">
            <v>1129</v>
          </cell>
          <cell r="KI2">
            <v>1119</v>
          </cell>
          <cell r="KJ2">
            <v>1098</v>
          </cell>
          <cell r="KK2">
            <v>1095</v>
          </cell>
          <cell r="KL2">
            <v>909</v>
          </cell>
          <cell r="KM2">
            <v>726</v>
          </cell>
          <cell r="KN2">
            <v>686</v>
          </cell>
          <cell r="KO2">
            <v>649</v>
          </cell>
          <cell r="KP2">
            <v>578</v>
          </cell>
          <cell r="KQ2">
            <v>538</v>
          </cell>
          <cell r="KR2">
            <v>413</v>
          </cell>
          <cell r="KS2">
            <v>379</v>
          </cell>
          <cell r="KT2">
            <v>339</v>
          </cell>
          <cell r="KU2">
            <v>260</v>
          </cell>
          <cell r="KV2">
            <v>195</v>
          </cell>
          <cell r="KW2">
            <v>208</v>
          </cell>
          <cell r="KX2">
            <v>160</v>
          </cell>
          <cell r="KY2">
            <v>125</v>
          </cell>
          <cell r="KZ2">
            <v>101</v>
          </cell>
          <cell r="LA2">
            <v>83</v>
          </cell>
          <cell r="LB2">
            <v>62</v>
          </cell>
          <cell r="LC2">
            <v>38</v>
          </cell>
          <cell r="LD2">
            <v>41</v>
          </cell>
          <cell r="LE2">
            <v>22</v>
          </cell>
          <cell r="LF2">
            <v>25</v>
          </cell>
          <cell r="LG2">
            <v>10</v>
          </cell>
          <cell r="LH2">
            <v>3</v>
          </cell>
          <cell r="LI2">
            <v>2</v>
          </cell>
          <cell r="LJ2">
            <v>1</v>
          </cell>
          <cell r="LK2">
            <v>4</v>
          </cell>
          <cell r="LL2">
            <v>1</v>
          </cell>
          <cell r="LM2">
            <v>0</v>
          </cell>
          <cell r="LN2">
            <v>1</v>
          </cell>
          <cell r="LO2">
            <v>1969</v>
          </cell>
          <cell r="LP2">
            <v>1827</v>
          </cell>
          <cell r="LQ2">
            <v>1895</v>
          </cell>
          <cell r="LR2">
            <v>2068</v>
          </cell>
          <cell r="LS2">
            <v>2452</v>
          </cell>
          <cell r="LT2">
            <v>2607</v>
          </cell>
          <cell r="LU2">
            <v>2765</v>
          </cell>
          <cell r="LV2">
            <v>2886</v>
          </cell>
          <cell r="LW2">
            <v>3193</v>
          </cell>
          <cell r="LX2">
            <v>4051</v>
          </cell>
          <cell r="LY2">
            <v>3163</v>
          </cell>
          <cell r="LZ2">
            <v>2342</v>
          </cell>
          <cell r="MA2">
            <v>2086</v>
          </cell>
          <cell r="MB2">
            <v>2405</v>
          </cell>
          <cell r="MC2">
            <v>2777</v>
          </cell>
          <cell r="MD2">
            <v>2403</v>
          </cell>
          <cell r="ME2">
            <v>1439</v>
          </cell>
          <cell r="MF2">
            <v>568</v>
          </cell>
          <cell r="MG2">
            <v>175</v>
          </cell>
          <cell r="MH2">
            <v>28</v>
          </cell>
          <cell r="MI2">
            <v>1</v>
          </cell>
          <cell r="MJ2">
            <v>1861</v>
          </cell>
          <cell r="MK2">
            <v>1803</v>
          </cell>
          <cell r="ML2">
            <v>1796</v>
          </cell>
          <cell r="MM2">
            <v>1933</v>
          </cell>
          <cell r="MN2">
            <v>2236</v>
          </cell>
          <cell r="MO2">
            <v>2461</v>
          </cell>
          <cell r="MP2">
            <v>2662</v>
          </cell>
          <cell r="MQ2">
            <v>2687</v>
          </cell>
          <cell r="MR2">
            <v>3028</v>
          </cell>
          <cell r="MS2">
            <v>3664</v>
          </cell>
          <cell r="MT2">
            <v>2765</v>
          </cell>
          <cell r="MU2">
            <v>2188</v>
          </cell>
          <cell r="MV2">
            <v>2051</v>
          </cell>
          <cell r="MW2">
            <v>2689</v>
          </cell>
          <cell r="MX2">
            <v>3272</v>
          </cell>
          <cell r="MY2">
            <v>2947</v>
          </cell>
          <cell r="MZ2">
            <v>1738</v>
          </cell>
          <cell r="NA2">
            <v>1018</v>
          </cell>
          <cell r="NB2">
            <v>502</v>
          </cell>
          <cell r="NC2">
            <v>160</v>
          </cell>
          <cell r="ND2">
            <v>17</v>
          </cell>
          <cell r="NE2">
            <v>2</v>
          </cell>
          <cell r="NF2">
            <v>3830</v>
          </cell>
          <cell r="NG2">
            <v>3630</v>
          </cell>
          <cell r="NH2">
            <v>3691</v>
          </cell>
          <cell r="NI2">
            <v>4001</v>
          </cell>
          <cell r="NJ2">
            <v>4688</v>
          </cell>
          <cell r="NK2">
            <v>5068</v>
          </cell>
          <cell r="NL2">
            <v>5427</v>
          </cell>
          <cell r="NM2">
            <v>5573</v>
          </cell>
          <cell r="NN2">
            <v>6221</v>
          </cell>
          <cell r="NO2">
            <v>7715</v>
          </cell>
          <cell r="NP2">
            <v>5928</v>
          </cell>
          <cell r="NQ2">
            <v>4530</v>
          </cell>
          <cell r="NR2">
            <v>4137</v>
          </cell>
          <cell r="NS2">
            <v>5094</v>
          </cell>
          <cell r="NT2">
            <v>6049</v>
          </cell>
          <cell r="NU2">
            <v>5350</v>
          </cell>
          <cell r="NV2">
            <v>3177</v>
          </cell>
          <cell r="NW2">
            <v>1586</v>
          </cell>
          <cell r="NX2">
            <v>677</v>
          </cell>
          <cell r="NY2">
            <v>188</v>
          </cell>
          <cell r="NZ2">
            <v>18</v>
          </cell>
          <cell r="OA2">
            <v>2</v>
          </cell>
          <cell r="OB2">
            <v>9796</v>
          </cell>
          <cell r="OC2">
            <v>12347</v>
          </cell>
          <cell r="OD2">
            <v>22143</v>
          </cell>
          <cell r="OE2">
            <v>25.6</v>
          </cell>
          <cell r="OF2">
            <v>43100</v>
          </cell>
          <cell r="OG2">
            <v>43482</v>
          </cell>
          <cell r="OH2">
            <v>86582</v>
          </cell>
          <cell r="OI2">
            <v>41397</v>
          </cell>
          <cell r="OJ2">
            <v>44</v>
          </cell>
          <cell r="OK2">
            <v>46</v>
          </cell>
          <cell r="OL2">
            <v>45</v>
          </cell>
          <cell r="OM2" t="str">
            <v>令和元年12月 3日</v>
          </cell>
          <cell r="ON2" t="str">
            <v>※外国人を含めた集計です。</v>
          </cell>
        </row>
      </sheetData>
      <sheetData sheetId="2"/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操作方法"/>
      <sheetName val="データ貼り付けシート"/>
      <sheetName val="印刷用シート"/>
      <sheetName val="ホームページ用シート"/>
    </sheetNames>
    <sheetDataSet>
      <sheetData sheetId="0"/>
      <sheetData sheetId="1">
        <row r="1">
          <cell r="A1" t="str">
            <v>自治体名</v>
          </cell>
          <cell r="B1" t="str">
            <v>集計区分</v>
          </cell>
          <cell r="C1" t="str">
            <v>基準日</v>
          </cell>
          <cell r="D1" t="str">
            <v>0_男</v>
          </cell>
          <cell r="E1" t="str">
            <v>1_男</v>
          </cell>
          <cell r="F1" t="str">
            <v>2_男</v>
          </cell>
          <cell r="G1" t="str">
            <v>3_男</v>
          </cell>
          <cell r="H1" t="str">
            <v>4_男</v>
          </cell>
          <cell r="I1" t="str">
            <v>5_男</v>
          </cell>
          <cell r="J1" t="str">
            <v>6_男</v>
          </cell>
          <cell r="K1" t="str">
            <v>7_男</v>
          </cell>
          <cell r="L1" t="str">
            <v>8_男</v>
          </cell>
          <cell r="M1" t="str">
            <v>9_男</v>
          </cell>
          <cell r="N1" t="str">
            <v>10_男</v>
          </cell>
          <cell r="O1" t="str">
            <v>11_男</v>
          </cell>
          <cell r="P1" t="str">
            <v>12_男</v>
          </cell>
          <cell r="Q1" t="str">
            <v>13_男</v>
          </cell>
          <cell r="R1" t="str">
            <v>14_男</v>
          </cell>
          <cell r="S1" t="str">
            <v>15_男</v>
          </cell>
          <cell r="T1" t="str">
            <v>16_男</v>
          </cell>
          <cell r="U1" t="str">
            <v>17_男</v>
          </cell>
          <cell r="V1" t="str">
            <v>18_男</v>
          </cell>
          <cell r="W1" t="str">
            <v>19_男</v>
          </cell>
          <cell r="X1" t="str">
            <v>20_男</v>
          </cell>
          <cell r="Y1" t="str">
            <v>21_男</v>
          </cell>
          <cell r="Z1" t="str">
            <v>22_男</v>
          </cell>
          <cell r="AA1" t="str">
            <v>23_男</v>
          </cell>
          <cell r="AB1" t="str">
            <v>24_男</v>
          </cell>
          <cell r="AC1" t="str">
            <v>25_男</v>
          </cell>
          <cell r="AD1" t="str">
            <v>26_男</v>
          </cell>
          <cell r="AE1" t="str">
            <v>27_男</v>
          </cell>
          <cell r="AF1" t="str">
            <v>28_男</v>
          </cell>
          <cell r="AG1" t="str">
            <v>29_男</v>
          </cell>
          <cell r="AH1" t="str">
            <v>30_男</v>
          </cell>
          <cell r="AI1" t="str">
            <v>31_男</v>
          </cell>
          <cell r="AJ1" t="str">
            <v>32_男</v>
          </cell>
          <cell r="AK1" t="str">
            <v>33_男</v>
          </cell>
          <cell r="AL1" t="str">
            <v>34_男</v>
          </cell>
          <cell r="AM1" t="str">
            <v>35_男</v>
          </cell>
          <cell r="AN1" t="str">
            <v>36_男</v>
          </cell>
          <cell r="AO1" t="str">
            <v>37_男</v>
          </cell>
          <cell r="AP1" t="str">
            <v>38_男</v>
          </cell>
          <cell r="AQ1" t="str">
            <v>39_男</v>
          </cell>
          <cell r="AR1" t="str">
            <v>40_男</v>
          </cell>
          <cell r="AS1" t="str">
            <v>41_男</v>
          </cell>
          <cell r="AT1" t="str">
            <v>42_男</v>
          </cell>
          <cell r="AU1" t="str">
            <v>43_男</v>
          </cell>
          <cell r="AV1" t="str">
            <v>44_男</v>
          </cell>
          <cell r="AW1" t="str">
            <v>45_男</v>
          </cell>
          <cell r="AX1" t="str">
            <v>46_男</v>
          </cell>
          <cell r="AY1" t="str">
            <v>47_男</v>
          </cell>
          <cell r="AZ1" t="str">
            <v>48_男</v>
          </cell>
          <cell r="BA1" t="str">
            <v>49_男</v>
          </cell>
          <cell r="BB1" t="str">
            <v>50_男</v>
          </cell>
          <cell r="BC1" t="str">
            <v>51_男</v>
          </cell>
          <cell r="BD1" t="str">
            <v>52_男</v>
          </cell>
          <cell r="BE1" t="str">
            <v>53_男</v>
          </cell>
          <cell r="BF1" t="str">
            <v>54_男</v>
          </cell>
          <cell r="BG1" t="str">
            <v>55_男</v>
          </cell>
          <cell r="BH1" t="str">
            <v>56_男</v>
          </cell>
          <cell r="BI1" t="str">
            <v>57_男</v>
          </cell>
          <cell r="BJ1" t="str">
            <v>58_男</v>
          </cell>
          <cell r="BK1" t="str">
            <v>59_男</v>
          </cell>
          <cell r="BL1" t="str">
            <v>60_男</v>
          </cell>
          <cell r="BM1" t="str">
            <v>61_男</v>
          </cell>
          <cell r="BN1" t="str">
            <v>62_男</v>
          </cell>
          <cell r="BO1" t="str">
            <v>63_男</v>
          </cell>
          <cell r="BP1" t="str">
            <v>64_男</v>
          </cell>
          <cell r="BQ1" t="str">
            <v>65_男</v>
          </cell>
          <cell r="BR1" t="str">
            <v>66_男</v>
          </cell>
          <cell r="BS1" t="str">
            <v>67_男</v>
          </cell>
          <cell r="BT1" t="str">
            <v>68_男</v>
          </cell>
          <cell r="BU1" t="str">
            <v>69_男</v>
          </cell>
          <cell r="BV1" t="str">
            <v>70_男</v>
          </cell>
          <cell r="BW1" t="str">
            <v>71_男</v>
          </cell>
          <cell r="BX1" t="str">
            <v>72_男</v>
          </cell>
          <cell r="BY1" t="str">
            <v>73_男</v>
          </cell>
          <cell r="BZ1" t="str">
            <v>74_男</v>
          </cell>
          <cell r="CA1" t="str">
            <v>75_男</v>
          </cell>
          <cell r="CB1" t="str">
            <v>76_男</v>
          </cell>
          <cell r="CC1" t="str">
            <v>77_男</v>
          </cell>
          <cell r="CD1" t="str">
            <v>78_男</v>
          </cell>
          <cell r="CE1" t="str">
            <v>79_男</v>
          </cell>
          <cell r="CF1" t="str">
            <v>80_男</v>
          </cell>
          <cell r="CG1" t="str">
            <v>81_男</v>
          </cell>
          <cell r="CH1" t="str">
            <v>82_男</v>
          </cell>
          <cell r="CI1" t="str">
            <v>83_男</v>
          </cell>
          <cell r="CJ1" t="str">
            <v>84_男</v>
          </cell>
          <cell r="CK1" t="str">
            <v>85_男</v>
          </cell>
          <cell r="CL1" t="str">
            <v>86_男</v>
          </cell>
          <cell r="CM1" t="str">
            <v>87_男</v>
          </cell>
          <cell r="CN1" t="str">
            <v>88_男</v>
          </cell>
          <cell r="CO1" t="str">
            <v>89_男</v>
          </cell>
          <cell r="CP1" t="str">
            <v>90_男</v>
          </cell>
          <cell r="CQ1" t="str">
            <v>91_男</v>
          </cell>
          <cell r="CR1" t="str">
            <v>92_男</v>
          </cell>
          <cell r="CS1" t="str">
            <v>93_男</v>
          </cell>
          <cell r="CT1" t="str">
            <v>94_男</v>
          </cell>
          <cell r="CU1" t="str">
            <v>95_男</v>
          </cell>
          <cell r="CV1" t="str">
            <v>96_男</v>
          </cell>
          <cell r="CW1" t="str">
            <v>97_男</v>
          </cell>
          <cell r="CX1" t="str">
            <v>98_男</v>
          </cell>
          <cell r="CY1" t="str">
            <v>99_男</v>
          </cell>
          <cell r="CZ1" t="str">
            <v>100_男</v>
          </cell>
          <cell r="DA1" t="str">
            <v>101_男</v>
          </cell>
          <cell r="DB1" t="str">
            <v>102_男</v>
          </cell>
          <cell r="DC1" t="str">
            <v>103_男</v>
          </cell>
          <cell r="DD1" t="str">
            <v>104_男</v>
          </cell>
          <cell r="DE1" t="str">
            <v>105_男</v>
          </cell>
          <cell r="DF1" t="str">
            <v>106_男</v>
          </cell>
          <cell r="DG1" t="str">
            <v>107_男</v>
          </cell>
          <cell r="DH1" t="str">
            <v>0_女</v>
          </cell>
          <cell r="DI1" t="str">
            <v>1_女</v>
          </cell>
          <cell r="DJ1" t="str">
            <v>2_女</v>
          </cell>
          <cell r="DK1" t="str">
            <v>3_女</v>
          </cell>
          <cell r="DL1" t="str">
            <v>4_女</v>
          </cell>
          <cell r="DM1" t="str">
            <v>5_女</v>
          </cell>
          <cell r="DN1" t="str">
            <v>6_女</v>
          </cell>
          <cell r="DO1" t="str">
            <v>7_女</v>
          </cell>
          <cell r="DP1" t="str">
            <v>8_女</v>
          </cell>
          <cell r="DQ1" t="str">
            <v>9_女</v>
          </cell>
          <cell r="DR1" t="str">
            <v>10_女</v>
          </cell>
          <cell r="DS1" t="str">
            <v>11_女</v>
          </cell>
          <cell r="DT1" t="str">
            <v>12_女</v>
          </cell>
          <cell r="DU1" t="str">
            <v>13_女</v>
          </cell>
          <cell r="DV1" t="str">
            <v>14_女</v>
          </cell>
          <cell r="DW1" t="str">
            <v>15_女</v>
          </cell>
          <cell r="DX1" t="str">
            <v>16_女</v>
          </cell>
          <cell r="DY1" t="str">
            <v>17_女</v>
          </cell>
          <cell r="DZ1" t="str">
            <v>18_女</v>
          </cell>
          <cell r="EA1" t="str">
            <v>19_女</v>
          </cell>
          <cell r="EB1" t="str">
            <v>20_女</v>
          </cell>
          <cell r="EC1" t="str">
            <v>21_女</v>
          </cell>
          <cell r="ED1" t="str">
            <v>22_女</v>
          </cell>
          <cell r="EE1" t="str">
            <v>23_女</v>
          </cell>
          <cell r="EF1" t="str">
            <v>24_女</v>
          </cell>
          <cell r="EG1" t="str">
            <v>25_女</v>
          </cell>
          <cell r="EH1" t="str">
            <v>26_女</v>
          </cell>
          <cell r="EI1" t="str">
            <v>27_女</v>
          </cell>
          <cell r="EJ1" t="str">
            <v>28_女</v>
          </cell>
          <cell r="EK1" t="str">
            <v>29_女</v>
          </cell>
          <cell r="EL1" t="str">
            <v>30_女</v>
          </cell>
          <cell r="EM1" t="str">
            <v>31_女</v>
          </cell>
          <cell r="EN1" t="str">
            <v>32_女</v>
          </cell>
          <cell r="EO1" t="str">
            <v>33_女</v>
          </cell>
          <cell r="EP1" t="str">
            <v>34_女</v>
          </cell>
          <cell r="EQ1" t="str">
            <v>35_女</v>
          </cell>
          <cell r="ER1" t="str">
            <v>36_女</v>
          </cell>
          <cell r="ES1" t="str">
            <v>37_女</v>
          </cell>
          <cell r="ET1" t="str">
            <v>38_女</v>
          </cell>
          <cell r="EU1" t="str">
            <v>39_女</v>
          </cell>
          <cell r="EV1" t="str">
            <v>40_女</v>
          </cell>
          <cell r="EW1" t="str">
            <v>41_女</v>
          </cell>
          <cell r="EX1" t="str">
            <v>42_女</v>
          </cell>
          <cell r="EY1" t="str">
            <v>43_女</v>
          </cell>
          <cell r="EZ1" t="str">
            <v>44_女</v>
          </cell>
          <cell r="FA1" t="str">
            <v>45_女</v>
          </cell>
          <cell r="FB1" t="str">
            <v>46_女</v>
          </cell>
          <cell r="FC1" t="str">
            <v>47_女</v>
          </cell>
          <cell r="FD1" t="str">
            <v>48_女</v>
          </cell>
          <cell r="FE1" t="str">
            <v>49_女</v>
          </cell>
          <cell r="FF1" t="str">
            <v>50_女</v>
          </cell>
          <cell r="FG1" t="str">
            <v>51_女</v>
          </cell>
          <cell r="FH1" t="str">
            <v>52_女</v>
          </cell>
          <cell r="FI1" t="str">
            <v>53_女</v>
          </cell>
          <cell r="FJ1" t="str">
            <v>54_女</v>
          </cell>
          <cell r="FK1" t="str">
            <v>55_女</v>
          </cell>
          <cell r="FL1" t="str">
            <v>56_女</v>
          </cell>
          <cell r="FM1" t="str">
            <v>57_女</v>
          </cell>
          <cell r="FN1" t="str">
            <v>58_女</v>
          </cell>
          <cell r="FO1" t="str">
            <v>59_女</v>
          </cell>
          <cell r="FP1" t="str">
            <v>60_女</v>
          </cell>
          <cell r="FQ1" t="str">
            <v>61_女</v>
          </cell>
          <cell r="FR1" t="str">
            <v>62_女</v>
          </cell>
          <cell r="FS1" t="str">
            <v>63_女</v>
          </cell>
          <cell r="FT1" t="str">
            <v>64_女</v>
          </cell>
          <cell r="FU1" t="str">
            <v>65_女</v>
          </cell>
          <cell r="FV1" t="str">
            <v>66_女</v>
          </cell>
          <cell r="FW1" t="str">
            <v>67_女</v>
          </cell>
          <cell r="FX1" t="str">
            <v>68_女</v>
          </cell>
          <cell r="FY1" t="str">
            <v>69_女</v>
          </cell>
          <cell r="FZ1" t="str">
            <v>70_女</v>
          </cell>
          <cell r="GA1" t="str">
            <v>71_女</v>
          </cell>
          <cell r="GB1" t="str">
            <v>72_女</v>
          </cell>
          <cell r="GC1" t="str">
            <v>73_女</v>
          </cell>
          <cell r="GD1" t="str">
            <v>74_女</v>
          </cell>
          <cell r="GE1" t="str">
            <v>75_女</v>
          </cell>
          <cell r="GF1" t="str">
            <v>76_女</v>
          </cell>
          <cell r="GG1" t="str">
            <v>77_女</v>
          </cell>
          <cell r="GH1" t="str">
            <v>78_女</v>
          </cell>
          <cell r="GI1" t="str">
            <v>79_女</v>
          </cell>
          <cell r="GJ1" t="str">
            <v>80_女</v>
          </cell>
          <cell r="GK1" t="str">
            <v>81_女</v>
          </cell>
          <cell r="GL1" t="str">
            <v>82_女</v>
          </cell>
          <cell r="GM1" t="str">
            <v>83_女</v>
          </cell>
          <cell r="GN1" t="str">
            <v>84_女</v>
          </cell>
          <cell r="GO1" t="str">
            <v>85_女</v>
          </cell>
          <cell r="GP1" t="str">
            <v>86_女</v>
          </cell>
          <cell r="GQ1" t="str">
            <v>87_女</v>
          </cell>
          <cell r="GR1" t="str">
            <v>88_女</v>
          </cell>
          <cell r="GS1" t="str">
            <v>89_女</v>
          </cell>
          <cell r="GT1" t="str">
            <v>90_女</v>
          </cell>
          <cell r="GU1" t="str">
            <v>91_女</v>
          </cell>
          <cell r="GV1" t="str">
            <v>92_女</v>
          </cell>
          <cell r="GW1" t="str">
            <v>93_女</v>
          </cell>
          <cell r="GX1" t="str">
            <v>94_女</v>
          </cell>
          <cell r="GY1" t="str">
            <v>95_女</v>
          </cell>
          <cell r="GZ1" t="str">
            <v>96_女</v>
          </cell>
          <cell r="HA1" t="str">
            <v>97_女</v>
          </cell>
          <cell r="HB1" t="str">
            <v>98_女</v>
          </cell>
          <cell r="HC1" t="str">
            <v>99_女</v>
          </cell>
          <cell r="HD1" t="str">
            <v>100_女</v>
          </cell>
          <cell r="HE1" t="str">
            <v>101_女</v>
          </cell>
          <cell r="HF1" t="str">
            <v>102_女</v>
          </cell>
          <cell r="HG1" t="str">
            <v>103_女</v>
          </cell>
          <cell r="HH1" t="str">
            <v>104_女</v>
          </cell>
          <cell r="HI1" t="str">
            <v>105_女</v>
          </cell>
          <cell r="HJ1" t="str">
            <v>106_女</v>
          </cell>
          <cell r="HK1" t="str">
            <v>107_女</v>
          </cell>
          <cell r="HL1" t="str">
            <v>0_全体</v>
          </cell>
          <cell r="HM1" t="str">
            <v>1_全体</v>
          </cell>
          <cell r="HN1" t="str">
            <v>2_全体</v>
          </cell>
          <cell r="HO1" t="str">
            <v>3_全体</v>
          </cell>
          <cell r="HP1" t="str">
            <v>4_全体</v>
          </cell>
          <cell r="HQ1" t="str">
            <v>5_全体</v>
          </cell>
          <cell r="HR1" t="str">
            <v>6_全体</v>
          </cell>
          <cell r="HS1" t="str">
            <v>7_全体</v>
          </cell>
          <cell r="HT1" t="str">
            <v>8_全体</v>
          </cell>
          <cell r="HU1" t="str">
            <v>9_全体</v>
          </cell>
          <cell r="HV1" t="str">
            <v>10_全体</v>
          </cell>
          <cell r="HW1" t="str">
            <v>11_全体</v>
          </cell>
          <cell r="HX1" t="str">
            <v>12_全体</v>
          </cell>
          <cell r="HY1" t="str">
            <v>13_全体</v>
          </cell>
          <cell r="HZ1" t="str">
            <v>14_全体</v>
          </cell>
          <cell r="IA1" t="str">
            <v>15_全体</v>
          </cell>
          <cell r="IB1" t="str">
            <v>16_全体</v>
          </cell>
          <cell r="IC1" t="str">
            <v>17_全体</v>
          </cell>
          <cell r="ID1" t="str">
            <v>18_全体</v>
          </cell>
          <cell r="IE1" t="str">
            <v>19_全体</v>
          </cell>
          <cell r="IF1" t="str">
            <v>20_全体</v>
          </cell>
          <cell r="IG1" t="str">
            <v>21_全体</v>
          </cell>
          <cell r="IH1" t="str">
            <v>22_全体</v>
          </cell>
          <cell r="II1" t="str">
            <v>23_全体</v>
          </cell>
          <cell r="IJ1" t="str">
            <v>24_全体</v>
          </cell>
          <cell r="IK1" t="str">
            <v>25_全体</v>
          </cell>
          <cell r="IL1" t="str">
            <v>26_全体</v>
          </cell>
          <cell r="IM1" t="str">
            <v>27_全体</v>
          </cell>
          <cell r="IN1" t="str">
            <v>28_全体</v>
          </cell>
          <cell r="IO1" t="str">
            <v>29_全体</v>
          </cell>
          <cell r="IP1" t="str">
            <v>30_全体</v>
          </cell>
          <cell r="IQ1" t="str">
            <v>31_全体</v>
          </cell>
          <cell r="IR1" t="str">
            <v>32_全体</v>
          </cell>
          <cell r="IS1" t="str">
            <v>33_全体</v>
          </cell>
          <cell r="IT1" t="str">
            <v>34_全体</v>
          </cell>
          <cell r="IU1" t="str">
            <v>35_全体</v>
          </cell>
          <cell r="IV1" t="str">
            <v>36_全体</v>
          </cell>
          <cell r="IW1" t="str">
            <v>37_全体</v>
          </cell>
          <cell r="IX1" t="str">
            <v>38_全体</v>
          </cell>
          <cell r="IY1" t="str">
            <v>39_全体</v>
          </cell>
          <cell r="IZ1" t="str">
            <v>40_全体</v>
          </cell>
          <cell r="JA1" t="str">
            <v>41_全体</v>
          </cell>
          <cell r="JB1" t="str">
            <v>42_全体</v>
          </cell>
          <cell r="JC1" t="str">
            <v>43_全体</v>
          </cell>
          <cell r="JD1" t="str">
            <v>44_全体</v>
          </cell>
          <cell r="JE1" t="str">
            <v>45_全体</v>
          </cell>
          <cell r="JF1" t="str">
            <v>46_全体</v>
          </cell>
          <cell r="JG1" t="str">
            <v>47_全体</v>
          </cell>
          <cell r="JH1" t="str">
            <v>48_全体</v>
          </cell>
          <cell r="JI1" t="str">
            <v>49_全体</v>
          </cell>
          <cell r="JJ1" t="str">
            <v>50_全体</v>
          </cell>
          <cell r="JK1" t="str">
            <v>51_全体</v>
          </cell>
          <cell r="JL1" t="str">
            <v>52_全体</v>
          </cell>
          <cell r="JM1" t="str">
            <v>53_全体</v>
          </cell>
          <cell r="JN1" t="str">
            <v>54_全体</v>
          </cell>
          <cell r="JO1" t="str">
            <v>55_全体</v>
          </cell>
          <cell r="JP1" t="str">
            <v>56_全体</v>
          </cell>
          <cell r="JQ1" t="str">
            <v>57_全体</v>
          </cell>
          <cell r="JR1" t="str">
            <v>58_全体</v>
          </cell>
          <cell r="JS1" t="str">
            <v>59_全体</v>
          </cell>
          <cell r="JT1" t="str">
            <v>60_全体</v>
          </cell>
          <cell r="JU1" t="str">
            <v>61_全体</v>
          </cell>
          <cell r="JV1" t="str">
            <v>62_全体</v>
          </cell>
          <cell r="JW1" t="str">
            <v>63_全体</v>
          </cell>
          <cell r="JX1" t="str">
            <v>64_全体</v>
          </cell>
          <cell r="JY1" t="str">
            <v>65_全体</v>
          </cell>
          <cell r="JZ1" t="str">
            <v>66_全体</v>
          </cell>
          <cell r="KA1" t="str">
            <v>67_全体</v>
          </cell>
          <cell r="KB1" t="str">
            <v>68_全体</v>
          </cell>
          <cell r="KC1" t="str">
            <v>69_全体</v>
          </cell>
          <cell r="KD1" t="str">
            <v>70_全体</v>
          </cell>
          <cell r="KE1" t="str">
            <v>71_全体</v>
          </cell>
          <cell r="KF1" t="str">
            <v>72_全体</v>
          </cell>
          <cell r="KG1" t="str">
            <v>73_全体</v>
          </cell>
          <cell r="KH1" t="str">
            <v>74_全体</v>
          </cell>
          <cell r="KI1" t="str">
            <v>75_全体</v>
          </cell>
          <cell r="KJ1" t="str">
            <v>76_全体</v>
          </cell>
          <cell r="KK1" t="str">
            <v>77_全体</v>
          </cell>
          <cell r="KL1" t="str">
            <v>78_全体</v>
          </cell>
          <cell r="KM1" t="str">
            <v>79_全体</v>
          </cell>
          <cell r="KN1" t="str">
            <v>80_全体</v>
          </cell>
          <cell r="KO1" t="str">
            <v>81_全体</v>
          </cell>
          <cell r="KP1" t="str">
            <v>82_全体</v>
          </cell>
          <cell r="KQ1" t="str">
            <v>83_全体</v>
          </cell>
          <cell r="KR1" t="str">
            <v>84_全体</v>
          </cell>
          <cell r="KS1" t="str">
            <v>85_全体</v>
          </cell>
          <cell r="KT1" t="str">
            <v>86_全体</v>
          </cell>
          <cell r="KU1" t="str">
            <v>87_全体</v>
          </cell>
          <cell r="KV1" t="str">
            <v>88_全体</v>
          </cell>
          <cell r="KW1" t="str">
            <v>89_全体</v>
          </cell>
          <cell r="KX1" t="str">
            <v>90_全体</v>
          </cell>
          <cell r="KY1" t="str">
            <v>91_全体</v>
          </cell>
          <cell r="KZ1" t="str">
            <v>92_全体</v>
          </cell>
          <cell r="LA1" t="str">
            <v>93_全体</v>
          </cell>
          <cell r="LB1" t="str">
            <v>94_全体</v>
          </cell>
          <cell r="LC1" t="str">
            <v>95_全体</v>
          </cell>
          <cell r="LD1" t="str">
            <v>96_全体</v>
          </cell>
          <cell r="LE1" t="str">
            <v>97_全体</v>
          </cell>
          <cell r="LF1" t="str">
            <v>98_全体</v>
          </cell>
          <cell r="LG1" t="str">
            <v>99_全体</v>
          </cell>
          <cell r="LH1" t="str">
            <v>100_全体</v>
          </cell>
          <cell r="LI1" t="str">
            <v>101_全体</v>
          </cell>
          <cell r="LJ1" t="str">
            <v>102_全体</v>
          </cell>
          <cell r="LK1" t="str">
            <v>103_全体</v>
          </cell>
          <cell r="LL1" t="str">
            <v>104_全体</v>
          </cell>
          <cell r="LM1" t="str">
            <v>105_全体</v>
          </cell>
          <cell r="LN1" t="str">
            <v>106_全体</v>
          </cell>
          <cell r="LO1" t="str">
            <v>107_全体</v>
          </cell>
          <cell r="LP1" t="str">
            <v>年代0-4_男</v>
          </cell>
          <cell r="LQ1" t="str">
            <v>年代5-9_男</v>
          </cell>
          <cell r="LR1" t="str">
            <v>年代10-14_男</v>
          </cell>
          <cell r="LS1" t="str">
            <v>年代15-19_男</v>
          </cell>
          <cell r="LT1" t="str">
            <v>年代20-24_男</v>
          </cell>
          <cell r="LU1" t="str">
            <v>年代25-29_男</v>
          </cell>
          <cell r="LV1" t="str">
            <v>年代30-34_男</v>
          </cell>
          <cell r="LW1" t="str">
            <v>年代35-39_男</v>
          </cell>
          <cell r="LX1" t="str">
            <v>年代40-44_男</v>
          </cell>
          <cell r="LY1" t="str">
            <v>年代45-49_男</v>
          </cell>
          <cell r="LZ1" t="str">
            <v>年代50-54_男</v>
          </cell>
          <cell r="MA1" t="str">
            <v>年代55-59_男</v>
          </cell>
          <cell r="MB1" t="str">
            <v>年代60-64_男</v>
          </cell>
          <cell r="MC1" t="str">
            <v>年代65-69_男</v>
          </cell>
          <cell r="MD1" t="str">
            <v>年代70-74_男</v>
          </cell>
          <cell r="ME1" t="str">
            <v>年代75-79_男</v>
          </cell>
          <cell r="MF1" t="str">
            <v>年代80-84_男</v>
          </cell>
          <cell r="MG1" t="str">
            <v>年代85-89_男</v>
          </cell>
          <cell r="MH1" t="str">
            <v>年代90-94_男</v>
          </cell>
          <cell r="MI1" t="str">
            <v>年代95-99_男</v>
          </cell>
          <cell r="MJ1" t="str">
            <v>年代100-104_男</v>
          </cell>
          <cell r="MK1" t="str">
            <v>年代0-4_女</v>
          </cell>
          <cell r="ML1" t="str">
            <v>年代5-9_女</v>
          </cell>
          <cell r="MM1" t="str">
            <v>年代10-14_女</v>
          </cell>
          <cell r="MN1" t="str">
            <v>年代15-19_女</v>
          </cell>
          <cell r="MO1" t="str">
            <v>年代20-24_女</v>
          </cell>
          <cell r="MP1" t="str">
            <v>年代25-29_女</v>
          </cell>
          <cell r="MQ1" t="str">
            <v>年代30-34_女</v>
          </cell>
          <cell r="MR1" t="str">
            <v>年代35-39_女</v>
          </cell>
          <cell r="MS1" t="str">
            <v>年代40-44_女</v>
          </cell>
          <cell r="MT1" t="str">
            <v>年代45-49_女</v>
          </cell>
          <cell r="MU1" t="str">
            <v>年代50-54_女</v>
          </cell>
          <cell r="MV1" t="str">
            <v>年代55-59_女</v>
          </cell>
          <cell r="MW1" t="str">
            <v>年代60-64_女</v>
          </cell>
          <cell r="MX1" t="str">
            <v>年代65-69_女</v>
          </cell>
          <cell r="MY1" t="str">
            <v>年代70-74_女</v>
          </cell>
          <cell r="MZ1" t="str">
            <v>年代75-79_女</v>
          </cell>
          <cell r="NA1" t="str">
            <v>年代80-84_女</v>
          </cell>
          <cell r="NB1" t="str">
            <v>年代85-89_女</v>
          </cell>
          <cell r="NC1" t="str">
            <v>年代90-94_女</v>
          </cell>
          <cell r="ND1" t="str">
            <v>年代95-99_女</v>
          </cell>
          <cell r="NE1" t="str">
            <v>年代100-104_女</v>
          </cell>
          <cell r="NF1" t="str">
            <v>年代105-109_女</v>
          </cell>
          <cell r="NG1" t="str">
            <v>年代0-4_全体</v>
          </cell>
          <cell r="NH1" t="str">
            <v>年代5-9_全体</v>
          </cell>
          <cell r="NI1" t="str">
            <v>年代10-14_全体</v>
          </cell>
          <cell r="NJ1" t="str">
            <v>年代15-19_全体</v>
          </cell>
          <cell r="NK1" t="str">
            <v>年代20-24_全体</v>
          </cell>
          <cell r="NL1" t="str">
            <v>年代25-29_全体</v>
          </cell>
          <cell r="NM1" t="str">
            <v>年代30-34_全体</v>
          </cell>
          <cell r="NN1" t="str">
            <v>年代35-39_全体</v>
          </cell>
          <cell r="NO1" t="str">
            <v>年代40-44_全体</v>
          </cell>
          <cell r="NP1" t="str">
            <v>年代45-49_全体</v>
          </cell>
          <cell r="NQ1" t="str">
            <v>年代50-54_全体</v>
          </cell>
          <cell r="NR1" t="str">
            <v>年代55-59_全体</v>
          </cell>
          <cell r="NS1" t="str">
            <v>年代60-64_全体</v>
          </cell>
          <cell r="NT1" t="str">
            <v>年代65-69_全体</v>
          </cell>
          <cell r="NU1" t="str">
            <v>年代70-74_全体</v>
          </cell>
          <cell r="NV1" t="str">
            <v>年代75-79_全体</v>
          </cell>
          <cell r="NW1" t="str">
            <v>年代80-84_全体</v>
          </cell>
          <cell r="NX1" t="str">
            <v>年代85-89_全体</v>
          </cell>
          <cell r="NY1" t="str">
            <v>年代90-94_全体</v>
          </cell>
          <cell r="NZ1" t="str">
            <v>年代95-99_全体</v>
          </cell>
          <cell r="OA1" t="str">
            <v>年代100-104_全体</v>
          </cell>
          <cell r="OB1" t="str">
            <v>年代105-109_全体</v>
          </cell>
          <cell r="OC1" t="str">
            <v>65以上_男</v>
          </cell>
          <cell r="OD1" t="str">
            <v>65以上_女</v>
          </cell>
          <cell r="OE1" t="str">
            <v>65以上_全体</v>
          </cell>
          <cell r="OF1" t="str">
            <v>65以上_割合</v>
          </cell>
          <cell r="OG1" t="str">
            <v>合計_男</v>
          </cell>
          <cell r="OH1" t="str">
            <v>合計_女</v>
          </cell>
          <cell r="OI1" t="str">
            <v>合計_総合計</v>
          </cell>
          <cell r="OJ1" t="str">
            <v>世帯数</v>
          </cell>
          <cell r="OK1" t="str">
            <v>平均_男</v>
          </cell>
          <cell r="OL1" t="str">
            <v>平均_女</v>
          </cell>
          <cell r="OM1" t="str">
            <v>平均_全体</v>
          </cell>
          <cell r="ON1" t="str">
            <v>作成日</v>
          </cell>
          <cell r="OO1" t="str">
            <v>集計対象</v>
          </cell>
        </row>
        <row r="2">
          <cell r="A2" t="str">
            <v>大阪府摂津市</v>
          </cell>
          <cell r="B2" t="str">
            <v>全体</v>
          </cell>
          <cell r="C2" t="str">
            <v>令和元年12月31日</v>
          </cell>
          <cell r="D2">
            <v>399</v>
          </cell>
          <cell r="E2">
            <v>411</v>
          </cell>
          <cell r="F2">
            <v>402</v>
          </cell>
          <cell r="G2">
            <v>406</v>
          </cell>
          <cell r="H2">
            <v>370</v>
          </cell>
          <cell r="I2">
            <v>373</v>
          </cell>
          <cell r="J2">
            <v>373</v>
          </cell>
          <cell r="K2">
            <v>358</v>
          </cell>
          <cell r="L2">
            <v>353</v>
          </cell>
          <cell r="M2">
            <v>372</v>
          </cell>
          <cell r="N2">
            <v>401</v>
          </cell>
          <cell r="O2">
            <v>327</v>
          </cell>
          <cell r="P2">
            <v>360</v>
          </cell>
          <cell r="Q2">
            <v>416</v>
          </cell>
          <cell r="R2">
            <v>372</v>
          </cell>
          <cell r="S2">
            <v>412</v>
          </cell>
          <cell r="T2">
            <v>381</v>
          </cell>
          <cell r="U2">
            <v>400</v>
          </cell>
          <cell r="V2">
            <v>442</v>
          </cell>
          <cell r="W2">
            <v>451</v>
          </cell>
          <cell r="X2">
            <v>481</v>
          </cell>
          <cell r="Y2">
            <v>497</v>
          </cell>
          <cell r="Z2">
            <v>459</v>
          </cell>
          <cell r="AA2">
            <v>506</v>
          </cell>
          <cell r="AB2">
            <v>508</v>
          </cell>
          <cell r="AC2">
            <v>512</v>
          </cell>
          <cell r="AD2">
            <v>528</v>
          </cell>
          <cell r="AE2">
            <v>486</v>
          </cell>
          <cell r="AF2">
            <v>529</v>
          </cell>
          <cell r="AG2">
            <v>553</v>
          </cell>
          <cell r="AH2">
            <v>527</v>
          </cell>
          <cell r="AI2">
            <v>599</v>
          </cell>
          <cell r="AJ2">
            <v>531</v>
          </cell>
          <cell r="AK2">
            <v>537</v>
          </cell>
          <cell r="AL2">
            <v>577</v>
          </cell>
          <cell r="AM2">
            <v>585</v>
          </cell>
          <cell r="AN2">
            <v>557</v>
          </cell>
          <cell r="AO2">
            <v>591</v>
          </cell>
          <cell r="AP2">
            <v>564</v>
          </cell>
          <cell r="AQ2">
            <v>591</v>
          </cell>
          <cell r="AR2">
            <v>561</v>
          </cell>
          <cell r="AS2">
            <v>598</v>
          </cell>
          <cell r="AT2">
            <v>635</v>
          </cell>
          <cell r="AU2">
            <v>679</v>
          </cell>
          <cell r="AV2">
            <v>707</v>
          </cell>
          <cell r="AW2">
            <v>778</v>
          </cell>
          <cell r="AX2">
            <v>892</v>
          </cell>
          <cell r="AY2">
            <v>824</v>
          </cell>
          <cell r="AZ2">
            <v>800</v>
          </cell>
          <cell r="BA2">
            <v>737</v>
          </cell>
          <cell r="BB2">
            <v>749</v>
          </cell>
          <cell r="BC2">
            <v>658</v>
          </cell>
          <cell r="BD2">
            <v>717</v>
          </cell>
          <cell r="BE2">
            <v>486</v>
          </cell>
          <cell r="BF2">
            <v>582</v>
          </cell>
          <cell r="BG2">
            <v>517</v>
          </cell>
          <cell r="BH2">
            <v>482</v>
          </cell>
          <cell r="BI2">
            <v>481</v>
          </cell>
          <cell r="BJ2">
            <v>446</v>
          </cell>
          <cell r="BK2">
            <v>423</v>
          </cell>
          <cell r="BL2">
            <v>401</v>
          </cell>
          <cell r="BM2">
            <v>460</v>
          </cell>
          <cell r="BN2">
            <v>390</v>
          </cell>
          <cell r="BO2">
            <v>404</v>
          </cell>
          <cell r="BP2">
            <v>426</v>
          </cell>
          <cell r="BQ2">
            <v>409</v>
          </cell>
          <cell r="BR2">
            <v>415</v>
          </cell>
          <cell r="BS2">
            <v>486</v>
          </cell>
          <cell r="BT2">
            <v>518</v>
          </cell>
          <cell r="BU2">
            <v>558</v>
          </cell>
          <cell r="BV2">
            <v>659</v>
          </cell>
          <cell r="BW2">
            <v>662</v>
          </cell>
          <cell r="BX2">
            <v>657</v>
          </cell>
          <cell r="BY2">
            <v>423</v>
          </cell>
          <cell r="BZ2">
            <v>383</v>
          </cell>
          <cell r="CA2">
            <v>515</v>
          </cell>
          <cell r="CB2">
            <v>498</v>
          </cell>
          <cell r="CC2">
            <v>467</v>
          </cell>
          <cell r="CD2">
            <v>517</v>
          </cell>
          <cell r="CE2">
            <v>391</v>
          </cell>
          <cell r="CF2">
            <v>365</v>
          </cell>
          <cell r="CG2">
            <v>292</v>
          </cell>
          <cell r="CH2">
            <v>315</v>
          </cell>
          <cell r="CI2">
            <v>261</v>
          </cell>
          <cell r="CJ2">
            <v>234</v>
          </cell>
          <cell r="CK2">
            <v>147</v>
          </cell>
          <cell r="CL2">
            <v>128</v>
          </cell>
          <cell r="CM2">
            <v>142</v>
          </cell>
          <cell r="CN2">
            <v>87</v>
          </cell>
          <cell r="CO2">
            <v>68</v>
          </cell>
          <cell r="CP2">
            <v>56</v>
          </cell>
          <cell r="CQ2">
            <v>46</v>
          </cell>
          <cell r="CR2">
            <v>26</v>
          </cell>
          <cell r="CS2">
            <v>28</v>
          </cell>
          <cell r="CT2">
            <v>14</v>
          </cell>
          <cell r="CU2">
            <v>10</v>
          </cell>
          <cell r="CV2">
            <v>5</v>
          </cell>
          <cell r="CW2">
            <v>7</v>
          </cell>
          <cell r="CX2">
            <v>4</v>
          </cell>
          <cell r="CY2">
            <v>2</v>
          </cell>
          <cell r="CZ2">
            <v>0</v>
          </cell>
          <cell r="DA2">
            <v>0</v>
          </cell>
          <cell r="DB2">
            <v>0</v>
          </cell>
          <cell r="DC2">
            <v>0</v>
          </cell>
          <cell r="DD2">
            <v>1</v>
          </cell>
          <cell r="DE2">
            <v>0</v>
          </cell>
          <cell r="DF2">
            <v>0</v>
          </cell>
          <cell r="DG2">
            <v>0</v>
          </cell>
          <cell r="DH2">
            <v>370</v>
          </cell>
          <cell r="DI2">
            <v>394</v>
          </cell>
          <cell r="DJ2">
            <v>371</v>
          </cell>
          <cell r="DK2">
            <v>380</v>
          </cell>
          <cell r="DL2">
            <v>358</v>
          </cell>
          <cell r="DM2">
            <v>383</v>
          </cell>
          <cell r="DN2">
            <v>316</v>
          </cell>
          <cell r="DO2">
            <v>353</v>
          </cell>
          <cell r="DP2">
            <v>371</v>
          </cell>
          <cell r="DQ2">
            <v>361</v>
          </cell>
          <cell r="DR2">
            <v>341</v>
          </cell>
          <cell r="DS2">
            <v>354</v>
          </cell>
          <cell r="DT2">
            <v>384</v>
          </cell>
          <cell r="DU2">
            <v>343</v>
          </cell>
          <cell r="DV2">
            <v>381</v>
          </cell>
          <cell r="DW2">
            <v>358</v>
          </cell>
          <cell r="DX2">
            <v>357</v>
          </cell>
          <cell r="DY2">
            <v>396</v>
          </cell>
          <cell r="DZ2">
            <v>393</v>
          </cell>
          <cell r="EA2">
            <v>417</v>
          </cell>
          <cell r="EB2">
            <v>439</v>
          </cell>
          <cell r="EC2">
            <v>429</v>
          </cell>
          <cell r="ED2">
            <v>446</v>
          </cell>
          <cell r="EE2">
            <v>464</v>
          </cell>
          <cell r="EF2">
            <v>442</v>
          </cell>
          <cell r="EG2">
            <v>453</v>
          </cell>
          <cell r="EH2">
            <v>467</v>
          </cell>
          <cell r="EI2">
            <v>505</v>
          </cell>
          <cell r="EJ2">
            <v>487</v>
          </cell>
          <cell r="EK2">
            <v>559</v>
          </cell>
          <cell r="EL2">
            <v>507</v>
          </cell>
          <cell r="EM2">
            <v>554</v>
          </cell>
          <cell r="EN2">
            <v>520</v>
          </cell>
          <cell r="EO2">
            <v>527</v>
          </cell>
          <cell r="EP2">
            <v>560</v>
          </cell>
          <cell r="EQ2">
            <v>486</v>
          </cell>
          <cell r="ER2">
            <v>538</v>
          </cell>
          <cell r="ES2">
            <v>575</v>
          </cell>
          <cell r="ET2">
            <v>549</v>
          </cell>
          <cell r="EU2">
            <v>541</v>
          </cell>
          <cell r="EV2">
            <v>558</v>
          </cell>
          <cell r="EW2">
            <v>567</v>
          </cell>
          <cell r="EX2">
            <v>590</v>
          </cell>
          <cell r="EY2">
            <v>618</v>
          </cell>
          <cell r="EZ2">
            <v>663</v>
          </cell>
          <cell r="FA2">
            <v>700</v>
          </cell>
          <cell r="FB2">
            <v>758</v>
          </cell>
          <cell r="FC2">
            <v>770</v>
          </cell>
          <cell r="FD2">
            <v>727</v>
          </cell>
          <cell r="FE2">
            <v>702</v>
          </cell>
          <cell r="FF2">
            <v>613</v>
          </cell>
          <cell r="FG2">
            <v>620</v>
          </cell>
          <cell r="FH2">
            <v>607</v>
          </cell>
          <cell r="FI2">
            <v>394</v>
          </cell>
          <cell r="FJ2">
            <v>547</v>
          </cell>
          <cell r="FK2">
            <v>486</v>
          </cell>
          <cell r="FL2">
            <v>465</v>
          </cell>
          <cell r="FM2">
            <v>428</v>
          </cell>
          <cell r="FN2">
            <v>422</v>
          </cell>
          <cell r="FO2">
            <v>391</v>
          </cell>
          <cell r="FP2">
            <v>395</v>
          </cell>
          <cell r="FQ2">
            <v>431</v>
          </cell>
          <cell r="FR2">
            <v>394</v>
          </cell>
          <cell r="FS2">
            <v>394</v>
          </cell>
          <cell r="FT2">
            <v>438</v>
          </cell>
          <cell r="FU2">
            <v>454</v>
          </cell>
          <cell r="FV2">
            <v>489</v>
          </cell>
          <cell r="FW2">
            <v>518</v>
          </cell>
          <cell r="FX2">
            <v>583</v>
          </cell>
          <cell r="FY2">
            <v>630</v>
          </cell>
          <cell r="FZ2">
            <v>758</v>
          </cell>
          <cell r="GA2">
            <v>774</v>
          </cell>
          <cell r="GB2">
            <v>767</v>
          </cell>
          <cell r="GC2">
            <v>504</v>
          </cell>
          <cell r="GD2">
            <v>480</v>
          </cell>
          <cell r="GE2">
            <v>587</v>
          </cell>
          <cell r="GF2">
            <v>644</v>
          </cell>
          <cell r="GG2">
            <v>610</v>
          </cell>
          <cell r="GH2">
            <v>594</v>
          </cell>
          <cell r="GI2">
            <v>523</v>
          </cell>
          <cell r="GJ2">
            <v>379</v>
          </cell>
          <cell r="GK2">
            <v>378</v>
          </cell>
          <cell r="GL2">
            <v>355</v>
          </cell>
          <cell r="GM2">
            <v>325</v>
          </cell>
          <cell r="GN2">
            <v>316</v>
          </cell>
          <cell r="GO2">
            <v>249</v>
          </cell>
          <cell r="GP2">
            <v>260</v>
          </cell>
          <cell r="GQ2">
            <v>202</v>
          </cell>
          <cell r="GR2">
            <v>169</v>
          </cell>
          <cell r="GS2">
            <v>131</v>
          </cell>
          <cell r="GT2">
            <v>152</v>
          </cell>
          <cell r="GU2">
            <v>116</v>
          </cell>
          <cell r="GV2">
            <v>99</v>
          </cell>
          <cell r="GW2">
            <v>68</v>
          </cell>
          <cell r="GX2">
            <v>59</v>
          </cell>
          <cell r="GY2">
            <v>56</v>
          </cell>
          <cell r="GZ2">
            <v>36</v>
          </cell>
          <cell r="HA2">
            <v>34</v>
          </cell>
          <cell r="HB2">
            <v>17</v>
          </cell>
          <cell r="HC2">
            <v>22</v>
          </cell>
          <cell r="HD2">
            <v>10</v>
          </cell>
          <cell r="HE2">
            <v>4</v>
          </cell>
          <cell r="HF2">
            <v>2</v>
          </cell>
          <cell r="HG2">
            <v>1</v>
          </cell>
          <cell r="HH2">
            <v>3</v>
          </cell>
          <cell r="HI2">
            <v>1</v>
          </cell>
          <cell r="HJ2">
            <v>0</v>
          </cell>
          <cell r="HK2">
            <v>1</v>
          </cell>
          <cell r="HL2">
            <v>769</v>
          </cell>
          <cell r="HM2">
            <v>805</v>
          </cell>
          <cell r="HN2">
            <v>773</v>
          </cell>
          <cell r="HO2">
            <v>786</v>
          </cell>
          <cell r="HP2">
            <v>728</v>
          </cell>
          <cell r="HQ2">
            <v>756</v>
          </cell>
          <cell r="HR2">
            <v>689</v>
          </cell>
          <cell r="HS2">
            <v>711</v>
          </cell>
          <cell r="HT2">
            <v>724</v>
          </cell>
          <cell r="HU2">
            <v>733</v>
          </cell>
          <cell r="HV2">
            <v>742</v>
          </cell>
          <cell r="HW2">
            <v>681</v>
          </cell>
          <cell r="HX2">
            <v>744</v>
          </cell>
          <cell r="HY2">
            <v>759</v>
          </cell>
          <cell r="HZ2">
            <v>753</v>
          </cell>
          <cell r="IA2">
            <v>770</v>
          </cell>
          <cell r="IB2">
            <v>738</v>
          </cell>
          <cell r="IC2">
            <v>796</v>
          </cell>
          <cell r="ID2">
            <v>835</v>
          </cell>
          <cell r="IE2">
            <v>868</v>
          </cell>
          <cell r="IF2">
            <v>920</v>
          </cell>
          <cell r="IG2">
            <v>926</v>
          </cell>
          <cell r="IH2">
            <v>905</v>
          </cell>
          <cell r="II2">
            <v>970</v>
          </cell>
          <cell r="IJ2">
            <v>950</v>
          </cell>
          <cell r="IK2">
            <v>965</v>
          </cell>
          <cell r="IL2">
            <v>995</v>
          </cell>
          <cell r="IM2">
            <v>991</v>
          </cell>
          <cell r="IN2">
            <v>1016</v>
          </cell>
          <cell r="IO2">
            <v>1112</v>
          </cell>
          <cell r="IP2">
            <v>1034</v>
          </cell>
          <cell r="IQ2">
            <v>1153</v>
          </cell>
          <cell r="IR2">
            <v>1051</v>
          </cell>
          <cell r="IS2">
            <v>1064</v>
          </cell>
          <cell r="IT2">
            <v>1137</v>
          </cell>
          <cell r="IU2">
            <v>1071</v>
          </cell>
          <cell r="IV2">
            <v>1095</v>
          </cell>
          <cell r="IW2">
            <v>1166</v>
          </cell>
          <cell r="IX2">
            <v>1113</v>
          </cell>
          <cell r="IY2">
            <v>1132</v>
          </cell>
          <cell r="IZ2">
            <v>1119</v>
          </cell>
          <cell r="JA2">
            <v>1165</v>
          </cell>
          <cell r="JB2">
            <v>1225</v>
          </cell>
          <cell r="JC2">
            <v>1297</v>
          </cell>
          <cell r="JD2">
            <v>1370</v>
          </cell>
          <cell r="JE2">
            <v>1478</v>
          </cell>
          <cell r="JF2">
            <v>1650</v>
          </cell>
          <cell r="JG2">
            <v>1594</v>
          </cell>
          <cell r="JH2">
            <v>1527</v>
          </cell>
          <cell r="JI2">
            <v>1439</v>
          </cell>
          <cell r="JJ2">
            <v>1362</v>
          </cell>
          <cell r="JK2">
            <v>1278</v>
          </cell>
          <cell r="JL2">
            <v>1324</v>
          </cell>
          <cell r="JM2">
            <v>880</v>
          </cell>
          <cell r="JN2">
            <v>1129</v>
          </cell>
          <cell r="JO2">
            <v>1003</v>
          </cell>
          <cell r="JP2">
            <v>947</v>
          </cell>
          <cell r="JQ2">
            <v>909</v>
          </cell>
          <cell r="JR2">
            <v>868</v>
          </cell>
          <cell r="JS2">
            <v>814</v>
          </cell>
          <cell r="JT2">
            <v>796</v>
          </cell>
          <cell r="JU2">
            <v>891</v>
          </cell>
          <cell r="JV2">
            <v>784</v>
          </cell>
          <cell r="JW2">
            <v>798</v>
          </cell>
          <cell r="JX2">
            <v>864</v>
          </cell>
          <cell r="JY2">
            <v>863</v>
          </cell>
          <cell r="JZ2">
            <v>904</v>
          </cell>
          <cell r="KA2">
            <v>1004</v>
          </cell>
          <cell r="KB2">
            <v>1101</v>
          </cell>
          <cell r="KC2">
            <v>1188</v>
          </cell>
          <cell r="KD2">
            <v>1417</v>
          </cell>
          <cell r="KE2">
            <v>1436</v>
          </cell>
          <cell r="KF2">
            <v>1424</v>
          </cell>
          <cell r="KG2">
            <v>927</v>
          </cell>
          <cell r="KH2">
            <v>863</v>
          </cell>
          <cell r="KI2">
            <v>1102</v>
          </cell>
          <cell r="KJ2">
            <v>1142</v>
          </cell>
          <cell r="KK2">
            <v>1077</v>
          </cell>
          <cell r="KL2">
            <v>1111</v>
          </cell>
          <cell r="KM2">
            <v>914</v>
          </cell>
          <cell r="KN2">
            <v>744</v>
          </cell>
          <cell r="KO2">
            <v>670</v>
          </cell>
          <cell r="KP2">
            <v>670</v>
          </cell>
          <cell r="KQ2">
            <v>586</v>
          </cell>
          <cell r="KR2">
            <v>550</v>
          </cell>
          <cell r="KS2">
            <v>396</v>
          </cell>
          <cell r="KT2">
            <v>388</v>
          </cell>
          <cell r="KU2">
            <v>344</v>
          </cell>
          <cell r="KV2">
            <v>256</v>
          </cell>
          <cell r="KW2">
            <v>199</v>
          </cell>
          <cell r="KX2">
            <v>208</v>
          </cell>
          <cell r="KY2">
            <v>162</v>
          </cell>
          <cell r="KZ2">
            <v>125</v>
          </cell>
          <cell r="LA2">
            <v>96</v>
          </cell>
          <cell r="LB2">
            <v>73</v>
          </cell>
          <cell r="LC2">
            <v>66</v>
          </cell>
          <cell r="LD2">
            <v>41</v>
          </cell>
          <cell r="LE2">
            <v>41</v>
          </cell>
          <cell r="LF2">
            <v>21</v>
          </cell>
          <cell r="LG2">
            <v>24</v>
          </cell>
          <cell r="LH2">
            <v>10</v>
          </cell>
          <cell r="LI2">
            <v>4</v>
          </cell>
          <cell r="LJ2">
            <v>2</v>
          </cell>
          <cell r="LK2">
            <v>1</v>
          </cell>
          <cell r="LL2">
            <v>4</v>
          </cell>
          <cell r="LM2">
            <v>1</v>
          </cell>
          <cell r="LN2">
            <v>0</v>
          </cell>
          <cell r="LO2">
            <v>1</v>
          </cell>
          <cell r="LP2">
            <v>1988</v>
          </cell>
          <cell r="LQ2">
            <v>1829</v>
          </cell>
          <cell r="LR2">
            <v>1876</v>
          </cell>
          <cell r="LS2">
            <v>2086</v>
          </cell>
          <cell r="LT2">
            <v>2451</v>
          </cell>
          <cell r="LU2">
            <v>2608</v>
          </cell>
          <cell r="LV2">
            <v>2771</v>
          </cell>
          <cell r="LW2">
            <v>2888</v>
          </cell>
          <cell r="LX2">
            <v>3180</v>
          </cell>
          <cell r="LY2">
            <v>4031</v>
          </cell>
          <cell r="LZ2">
            <v>3192</v>
          </cell>
          <cell r="MA2">
            <v>2349</v>
          </cell>
          <cell r="MB2">
            <v>2081</v>
          </cell>
          <cell r="MC2">
            <v>2386</v>
          </cell>
          <cell r="MD2">
            <v>2784</v>
          </cell>
          <cell r="ME2">
            <v>2388</v>
          </cell>
          <cell r="MF2">
            <v>1467</v>
          </cell>
          <cell r="MG2">
            <v>572</v>
          </cell>
          <cell r="MH2">
            <v>170</v>
          </cell>
          <cell r="MI2">
            <v>28</v>
          </cell>
          <cell r="MJ2">
            <v>1</v>
          </cell>
          <cell r="MK2">
            <v>1873</v>
          </cell>
          <cell r="ML2">
            <v>1784</v>
          </cell>
          <cell r="MM2">
            <v>1803</v>
          </cell>
          <cell r="MN2">
            <v>1921</v>
          </cell>
          <cell r="MO2">
            <v>2220</v>
          </cell>
          <cell r="MP2">
            <v>2471</v>
          </cell>
          <cell r="MQ2">
            <v>2668</v>
          </cell>
          <cell r="MR2">
            <v>2689</v>
          </cell>
          <cell r="MS2">
            <v>2996</v>
          </cell>
          <cell r="MT2">
            <v>3657</v>
          </cell>
          <cell r="MU2">
            <v>2781</v>
          </cell>
          <cell r="MV2">
            <v>2192</v>
          </cell>
          <cell r="MW2">
            <v>2052</v>
          </cell>
          <cell r="MX2">
            <v>2674</v>
          </cell>
          <cell r="MY2">
            <v>3283</v>
          </cell>
          <cell r="MZ2">
            <v>2958</v>
          </cell>
          <cell r="NA2">
            <v>1753</v>
          </cell>
          <cell r="NB2">
            <v>1011</v>
          </cell>
          <cell r="NC2">
            <v>494</v>
          </cell>
          <cell r="ND2">
            <v>165</v>
          </cell>
          <cell r="NE2">
            <v>20</v>
          </cell>
          <cell r="NF2">
            <v>3861</v>
          </cell>
          <cell r="NG2">
            <v>3613</v>
          </cell>
          <cell r="NH2">
            <v>3679</v>
          </cell>
          <cell r="NI2">
            <v>4007</v>
          </cell>
          <cell r="NJ2">
            <v>4671</v>
          </cell>
          <cell r="NK2">
            <v>5079</v>
          </cell>
          <cell r="NL2">
            <v>5439</v>
          </cell>
          <cell r="NM2">
            <v>5577</v>
          </cell>
          <cell r="NN2">
            <v>6176</v>
          </cell>
          <cell r="NO2">
            <v>7688</v>
          </cell>
          <cell r="NP2">
            <v>5973</v>
          </cell>
          <cell r="NQ2">
            <v>4541</v>
          </cell>
          <cell r="NR2">
            <v>4133</v>
          </cell>
          <cell r="NS2">
            <v>5060</v>
          </cell>
          <cell r="NT2">
            <v>6067</v>
          </cell>
          <cell r="NU2">
            <v>5346</v>
          </cell>
          <cell r="NV2">
            <v>3220</v>
          </cell>
          <cell r="NW2">
            <v>1583</v>
          </cell>
          <cell r="NX2">
            <v>664</v>
          </cell>
          <cell r="NY2">
            <v>193</v>
          </cell>
          <cell r="NZ2">
            <v>19</v>
          </cell>
          <cell r="OA2">
            <v>2</v>
          </cell>
          <cell r="OB2">
            <v>9796</v>
          </cell>
          <cell r="OC2">
            <v>12360</v>
          </cell>
          <cell r="OD2">
            <v>22156</v>
          </cell>
          <cell r="OE2">
            <v>25.6</v>
          </cell>
          <cell r="OF2">
            <v>43126</v>
          </cell>
          <cell r="OG2">
            <v>43467</v>
          </cell>
          <cell r="OH2">
            <v>86593</v>
          </cell>
          <cell r="OI2">
            <v>41393</v>
          </cell>
          <cell r="OJ2">
            <v>44</v>
          </cell>
          <cell r="OK2">
            <v>46</v>
          </cell>
          <cell r="OL2">
            <v>45</v>
          </cell>
          <cell r="OM2" t="str">
            <v>令和 2年 1月 7日</v>
          </cell>
          <cell r="ON2" t="str">
            <v>※外国人を含めた集計です。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操作方法"/>
      <sheetName val="データ貼り付けシート"/>
      <sheetName val="印刷用シート"/>
      <sheetName val="ホームページ用シート"/>
    </sheetNames>
    <sheetDataSet>
      <sheetData sheetId="0" refreshError="1"/>
      <sheetData sheetId="1">
        <row r="1">
          <cell r="A1" t="str">
            <v>自治体名</v>
          </cell>
          <cell r="B1" t="str">
            <v>集計区分</v>
          </cell>
          <cell r="C1" t="str">
            <v>基準日</v>
          </cell>
          <cell r="D1" t="str">
            <v>0_男</v>
          </cell>
          <cell r="E1" t="str">
            <v>1_男</v>
          </cell>
          <cell r="F1" t="str">
            <v>2_男</v>
          </cell>
          <cell r="G1" t="str">
            <v>3_男</v>
          </cell>
          <cell r="H1" t="str">
            <v>4_男</v>
          </cell>
          <cell r="I1" t="str">
            <v>5_男</v>
          </cell>
          <cell r="J1" t="str">
            <v>6_男</v>
          </cell>
          <cell r="K1" t="str">
            <v>7_男</v>
          </cell>
          <cell r="L1" t="str">
            <v>8_男</v>
          </cell>
          <cell r="M1" t="str">
            <v>9_男</v>
          </cell>
          <cell r="N1" t="str">
            <v>10_男</v>
          </cell>
          <cell r="O1" t="str">
            <v>11_男</v>
          </cell>
          <cell r="P1" t="str">
            <v>12_男</v>
          </cell>
          <cell r="Q1" t="str">
            <v>13_男</v>
          </cell>
          <cell r="R1" t="str">
            <v>14_男</v>
          </cell>
          <cell r="S1" t="str">
            <v>15_男</v>
          </cell>
          <cell r="T1" t="str">
            <v>16_男</v>
          </cell>
          <cell r="U1" t="str">
            <v>17_男</v>
          </cell>
          <cell r="V1" t="str">
            <v>18_男</v>
          </cell>
          <cell r="W1" t="str">
            <v>19_男</v>
          </cell>
          <cell r="X1" t="str">
            <v>20_男</v>
          </cell>
          <cell r="Y1" t="str">
            <v>21_男</v>
          </cell>
          <cell r="Z1" t="str">
            <v>22_男</v>
          </cell>
          <cell r="AA1" t="str">
            <v>23_男</v>
          </cell>
          <cell r="AB1" t="str">
            <v>24_男</v>
          </cell>
          <cell r="AC1" t="str">
            <v>25_男</v>
          </cell>
          <cell r="AD1" t="str">
            <v>26_男</v>
          </cell>
          <cell r="AE1" t="str">
            <v>27_男</v>
          </cell>
          <cell r="AF1" t="str">
            <v>28_男</v>
          </cell>
          <cell r="AG1" t="str">
            <v>29_男</v>
          </cell>
          <cell r="AH1" t="str">
            <v>30_男</v>
          </cell>
          <cell r="AI1" t="str">
            <v>31_男</v>
          </cell>
          <cell r="AJ1" t="str">
            <v>32_男</v>
          </cell>
          <cell r="AK1" t="str">
            <v>33_男</v>
          </cell>
          <cell r="AL1" t="str">
            <v>34_男</v>
          </cell>
          <cell r="AM1" t="str">
            <v>35_男</v>
          </cell>
          <cell r="AN1" t="str">
            <v>36_男</v>
          </cell>
          <cell r="AO1" t="str">
            <v>37_男</v>
          </cell>
          <cell r="AP1" t="str">
            <v>38_男</v>
          </cell>
          <cell r="AQ1" t="str">
            <v>39_男</v>
          </cell>
          <cell r="AR1" t="str">
            <v>40_男</v>
          </cell>
          <cell r="AS1" t="str">
            <v>41_男</v>
          </cell>
          <cell r="AT1" t="str">
            <v>42_男</v>
          </cell>
          <cell r="AU1" t="str">
            <v>43_男</v>
          </cell>
          <cell r="AV1" t="str">
            <v>44_男</v>
          </cell>
          <cell r="AW1" t="str">
            <v>45_男</v>
          </cell>
          <cell r="AX1" t="str">
            <v>46_男</v>
          </cell>
          <cell r="AY1" t="str">
            <v>47_男</v>
          </cell>
          <cell r="AZ1" t="str">
            <v>48_男</v>
          </cell>
          <cell r="BA1" t="str">
            <v>49_男</v>
          </cell>
          <cell r="BB1" t="str">
            <v>50_男</v>
          </cell>
          <cell r="BC1" t="str">
            <v>51_男</v>
          </cell>
          <cell r="BD1" t="str">
            <v>52_男</v>
          </cell>
          <cell r="BE1" t="str">
            <v>53_男</v>
          </cell>
          <cell r="BF1" t="str">
            <v>54_男</v>
          </cell>
          <cell r="BG1" t="str">
            <v>55_男</v>
          </cell>
          <cell r="BH1" t="str">
            <v>56_男</v>
          </cell>
          <cell r="BI1" t="str">
            <v>57_男</v>
          </cell>
          <cell r="BJ1" t="str">
            <v>58_男</v>
          </cell>
          <cell r="BK1" t="str">
            <v>59_男</v>
          </cell>
          <cell r="BL1" t="str">
            <v>60_男</v>
          </cell>
          <cell r="BM1" t="str">
            <v>61_男</v>
          </cell>
          <cell r="BN1" t="str">
            <v>62_男</v>
          </cell>
          <cell r="BO1" t="str">
            <v>63_男</v>
          </cell>
          <cell r="BP1" t="str">
            <v>64_男</v>
          </cell>
          <cell r="BQ1" t="str">
            <v>65_男</v>
          </cell>
          <cell r="BR1" t="str">
            <v>66_男</v>
          </cell>
          <cell r="BS1" t="str">
            <v>67_男</v>
          </cell>
          <cell r="BT1" t="str">
            <v>68_男</v>
          </cell>
          <cell r="BU1" t="str">
            <v>69_男</v>
          </cell>
          <cell r="BV1" t="str">
            <v>70_男</v>
          </cell>
          <cell r="BW1" t="str">
            <v>71_男</v>
          </cell>
          <cell r="BX1" t="str">
            <v>72_男</v>
          </cell>
          <cell r="BY1" t="str">
            <v>73_男</v>
          </cell>
          <cell r="BZ1" t="str">
            <v>74_男</v>
          </cell>
          <cell r="CA1" t="str">
            <v>75_男</v>
          </cell>
          <cell r="CB1" t="str">
            <v>76_男</v>
          </cell>
          <cell r="CC1" t="str">
            <v>77_男</v>
          </cell>
          <cell r="CD1" t="str">
            <v>78_男</v>
          </cell>
          <cell r="CE1" t="str">
            <v>79_男</v>
          </cell>
          <cell r="CF1" t="str">
            <v>80_男</v>
          </cell>
          <cell r="CG1" t="str">
            <v>81_男</v>
          </cell>
          <cell r="CH1" t="str">
            <v>82_男</v>
          </cell>
          <cell r="CI1" t="str">
            <v>83_男</v>
          </cell>
          <cell r="CJ1" t="str">
            <v>84_男</v>
          </cell>
          <cell r="CK1" t="str">
            <v>85_男</v>
          </cell>
          <cell r="CL1" t="str">
            <v>86_男</v>
          </cell>
          <cell r="CM1" t="str">
            <v>87_男</v>
          </cell>
          <cell r="CN1" t="str">
            <v>88_男</v>
          </cell>
          <cell r="CO1" t="str">
            <v>89_男</v>
          </cell>
          <cell r="CP1" t="str">
            <v>90_男</v>
          </cell>
          <cell r="CQ1" t="str">
            <v>91_男</v>
          </cell>
          <cell r="CR1" t="str">
            <v>92_男</v>
          </cell>
          <cell r="CS1" t="str">
            <v>93_男</v>
          </cell>
          <cell r="CT1" t="str">
            <v>94_男</v>
          </cell>
          <cell r="CU1" t="str">
            <v>95_男</v>
          </cell>
          <cell r="CV1" t="str">
            <v>96_男</v>
          </cell>
          <cell r="CW1" t="str">
            <v>97_男</v>
          </cell>
          <cell r="CX1" t="str">
            <v>98_男</v>
          </cell>
          <cell r="CY1" t="str">
            <v>99_男</v>
          </cell>
          <cell r="CZ1" t="str">
            <v>100_男</v>
          </cell>
          <cell r="DA1" t="str">
            <v>101_男</v>
          </cell>
          <cell r="DB1" t="str">
            <v>102_男</v>
          </cell>
          <cell r="DC1" t="str">
            <v>103_男</v>
          </cell>
          <cell r="DD1" t="str">
            <v>104_男</v>
          </cell>
          <cell r="DE1" t="str">
            <v>105以上_男</v>
          </cell>
          <cell r="DF1" t="str">
            <v>0_女</v>
          </cell>
          <cell r="DG1" t="str">
            <v>1_女</v>
          </cell>
          <cell r="DH1" t="str">
            <v>2_女</v>
          </cell>
          <cell r="DI1" t="str">
            <v>3_女</v>
          </cell>
          <cell r="DJ1" t="str">
            <v>4_女</v>
          </cell>
          <cell r="DK1" t="str">
            <v>5_女</v>
          </cell>
          <cell r="DL1" t="str">
            <v>6_女</v>
          </cell>
          <cell r="DM1" t="str">
            <v>7_女</v>
          </cell>
          <cell r="DN1" t="str">
            <v>8_女</v>
          </cell>
          <cell r="DO1" t="str">
            <v>9_女</v>
          </cell>
          <cell r="DP1" t="str">
            <v>10_女</v>
          </cell>
          <cell r="DQ1" t="str">
            <v>11_女</v>
          </cell>
          <cell r="DR1" t="str">
            <v>12_女</v>
          </cell>
          <cell r="DS1" t="str">
            <v>13_女</v>
          </cell>
          <cell r="DT1" t="str">
            <v>14_女</v>
          </cell>
          <cell r="DU1" t="str">
            <v>15_女</v>
          </cell>
          <cell r="DV1" t="str">
            <v>16_女</v>
          </cell>
          <cell r="DW1" t="str">
            <v>17_女</v>
          </cell>
          <cell r="DX1" t="str">
            <v>18_女</v>
          </cell>
          <cell r="DY1" t="str">
            <v>19_女</v>
          </cell>
          <cell r="DZ1" t="str">
            <v>20_女</v>
          </cell>
          <cell r="EA1" t="str">
            <v>21_女</v>
          </cell>
          <cell r="EB1" t="str">
            <v>22_女</v>
          </cell>
          <cell r="EC1" t="str">
            <v>23_女</v>
          </cell>
          <cell r="ED1" t="str">
            <v>24_女</v>
          </cell>
          <cell r="EE1" t="str">
            <v>25_女</v>
          </cell>
          <cell r="EF1" t="str">
            <v>26_女</v>
          </cell>
          <cell r="EG1" t="str">
            <v>27_女</v>
          </cell>
          <cell r="EH1" t="str">
            <v>28_女</v>
          </cell>
          <cell r="EI1" t="str">
            <v>29_女</v>
          </cell>
          <cell r="EJ1" t="str">
            <v>30_女</v>
          </cell>
          <cell r="EK1" t="str">
            <v>31_女</v>
          </cell>
          <cell r="EL1" t="str">
            <v>32_女</v>
          </cell>
          <cell r="EM1" t="str">
            <v>33_女</v>
          </cell>
          <cell r="EN1" t="str">
            <v>34_女</v>
          </cell>
          <cell r="EO1" t="str">
            <v>35_女</v>
          </cell>
          <cell r="EP1" t="str">
            <v>36_女</v>
          </cell>
          <cell r="EQ1" t="str">
            <v>37_女</v>
          </cell>
          <cell r="ER1" t="str">
            <v>38_女</v>
          </cell>
          <cell r="ES1" t="str">
            <v>39_女</v>
          </cell>
          <cell r="ET1" t="str">
            <v>40_女</v>
          </cell>
          <cell r="EU1" t="str">
            <v>41_女</v>
          </cell>
          <cell r="EV1" t="str">
            <v>42_女</v>
          </cell>
          <cell r="EW1" t="str">
            <v>43_女</v>
          </cell>
          <cell r="EX1" t="str">
            <v>44_女</v>
          </cell>
          <cell r="EY1" t="str">
            <v>45_女</v>
          </cell>
          <cell r="EZ1" t="str">
            <v>46_女</v>
          </cell>
          <cell r="FA1" t="str">
            <v>47_女</v>
          </cell>
          <cell r="FB1" t="str">
            <v>48_女</v>
          </cell>
          <cell r="FC1" t="str">
            <v>49_女</v>
          </cell>
          <cell r="FD1" t="str">
            <v>50_女</v>
          </cell>
          <cell r="FE1" t="str">
            <v>51_女</v>
          </cell>
          <cell r="FF1" t="str">
            <v>52_女</v>
          </cell>
          <cell r="FG1" t="str">
            <v>53_女</v>
          </cell>
          <cell r="FH1" t="str">
            <v>54_女</v>
          </cell>
          <cell r="FI1" t="str">
            <v>55_女</v>
          </cell>
          <cell r="FJ1" t="str">
            <v>56_女</v>
          </cell>
          <cell r="FK1" t="str">
            <v>57_女</v>
          </cell>
          <cell r="FL1" t="str">
            <v>58_女</v>
          </cell>
          <cell r="FM1" t="str">
            <v>59_女</v>
          </cell>
          <cell r="FN1" t="str">
            <v>60_女</v>
          </cell>
          <cell r="FO1" t="str">
            <v>61_女</v>
          </cell>
          <cell r="FP1" t="str">
            <v>62_女</v>
          </cell>
          <cell r="FQ1" t="str">
            <v>63_女</v>
          </cell>
          <cell r="FR1" t="str">
            <v>64_女</v>
          </cell>
          <cell r="FS1" t="str">
            <v>65_女</v>
          </cell>
          <cell r="FT1" t="str">
            <v>66_女</v>
          </cell>
          <cell r="FU1" t="str">
            <v>67_女</v>
          </cell>
          <cell r="FV1" t="str">
            <v>68_女</v>
          </cell>
          <cell r="FW1" t="str">
            <v>69_女</v>
          </cell>
          <cell r="FX1" t="str">
            <v>70_女</v>
          </cell>
          <cell r="FY1" t="str">
            <v>71_女</v>
          </cell>
          <cell r="FZ1" t="str">
            <v>72_女</v>
          </cell>
          <cell r="GA1" t="str">
            <v>73_女</v>
          </cell>
          <cell r="GB1" t="str">
            <v>74_女</v>
          </cell>
          <cell r="GC1" t="str">
            <v>75_女</v>
          </cell>
          <cell r="GD1" t="str">
            <v>76_女</v>
          </cell>
          <cell r="GE1" t="str">
            <v>77_女</v>
          </cell>
          <cell r="GF1" t="str">
            <v>78_女</v>
          </cell>
          <cell r="GG1" t="str">
            <v>79_女</v>
          </cell>
          <cell r="GH1" t="str">
            <v>80_女</v>
          </cell>
          <cell r="GI1" t="str">
            <v>81_女</v>
          </cell>
          <cell r="GJ1" t="str">
            <v>82_女</v>
          </cell>
          <cell r="GK1" t="str">
            <v>83_女</v>
          </cell>
          <cell r="GL1" t="str">
            <v>84_女</v>
          </cell>
          <cell r="GM1" t="str">
            <v>85_女</v>
          </cell>
          <cell r="GN1" t="str">
            <v>86_女</v>
          </cell>
          <cell r="GO1" t="str">
            <v>87_女</v>
          </cell>
          <cell r="GP1" t="str">
            <v>88_女</v>
          </cell>
          <cell r="GQ1" t="str">
            <v>89_女</v>
          </cell>
          <cell r="GR1" t="str">
            <v>90_女</v>
          </cell>
          <cell r="GS1" t="str">
            <v>91_女</v>
          </cell>
          <cell r="GT1" t="str">
            <v>92_女</v>
          </cell>
          <cell r="GU1" t="str">
            <v>93_女</v>
          </cell>
          <cell r="GV1" t="str">
            <v>94_女</v>
          </cell>
          <cell r="GW1" t="str">
            <v>95_女</v>
          </cell>
          <cell r="GX1" t="str">
            <v>96_女</v>
          </cell>
          <cell r="GY1" t="str">
            <v>97_女</v>
          </cell>
          <cell r="GZ1" t="str">
            <v>98_女</v>
          </cell>
          <cell r="HA1" t="str">
            <v>99_女</v>
          </cell>
          <cell r="HB1" t="str">
            <v>100_女</v>
          </cell>
          <cell r="HC1" t="str">
            <v>101_女</v>
          </cell>
          <cell r="HD1" t="str">
            <v>102_女</v>
          </cell>
          <cell r="HE1" t="str">
            <v>103_女</v>
          </cell>
          <cell r="HF1" t="str">
            <v>104_女</v>
          </cell>
          <cell r="HG1" t="str">
            <v>105_女</v>
          </cell>
          <cell r="HH1" t="str">
            <v>106_女</v>
          </cell>
          <cell r="HI1" t="str">
            <v>0_全体</v>
          </cell>
          <cell r="HJ1" t="str">
            <v>1_全体</v>
          </cell>
          <cell r="HK1" t="str">
            <v>2_全体</v>
          </cell>
          <cell r="HL1" t="str">
            <v>3_全体</v>
          </cell>
          <cell r="HM1" t="str">
            <v>4_全体</v>
          </cell>
          <cell r="HN1" t="str">
            <v>5_全体</v>
          </cell>
          <cell r="HO1" t="str">
            <v>6_全体</v>
          </cell>
          <cell r="HP1" t="str">
            <v>7_全体</v>
          </cell>
          <cell r="HQ1" t="str">
            <v>8_全体</v>
          </cell>
          <cell r="HR1" t="str">
            <v>9_全体</v>
          </cell>
          <cell r="HS1" t="str">
            <v>10_全体</v>
          </cell>
          <cell r="HT1" t="str">
            <v>11_全体</v>
          </cell>
          <cell r="HU1" t="str">
            <v>12_全体</v>
          </cell>
          <cell r="HV1" t="str">
            <v>13_全体</v>
          </cell>
          <cell r="HW1" t="str">
            <v>14_全体</v>
          </cell>
          <cell r="HX1" t="str">
            <v>15_全体</v>
          </cell>
          <cell r="HY1" t="str">
            <v>16_全体</v>
          </cell>
          <cell r="HZ1" t="str">
            <v>17_全体</v>
          </cell>
          <cell r="IA1" t="str">
            <v>18_全体</v>
          </cell>
          <cell r="IB1" t="str">
            <v>19_全体</v>
          </cell>
          <cell r="IC1" t="str">
            <v>20_全体</v>
          </cell>
          <cell r="ID1" t="str">
            <v>21_全体</v>
          </cell>
          <cell r="IE1" t="str">
            <v>22_全体</v>
          </cell>
          <cell r="IF1" t="str">
            <v>23_全体</v>
          </cell>
          <cell r="IG1" t="str">
            <v>24_全体</v>
          </cell>
          <cell r="IH1" t="str">
            <v>25_全体</v>
          </cell>
          <cell r="II1" t="str">
            <v>26_全体</v>
          </cell>
          <cell r="IJ1" t="str">
            <v>27_全体</v>
          </cell>
          <cell r="IK1" t="str">
            <v>28_全体</v>
          </cell>
          <cell r="IL1" t="str">
            <v>29_全体</v>
          </cell>
          <cell r="IM1" t="str">
            <v>30_全体</v>
          </cell>
          <cell r="IN1" t="str">
            <v>31_全体</v>
          </cell>
          <cell r="IO1" t="str">
            <v>32_全体</v>
          </cell>
          <cell r="IP1" t="str">
            <v>33_全体</v>
          </cell>
          <cell r="IQ1" t="str">
            <v>34_全体</v>
          </cell>
          <cell r="IR1" t="str">
            <v>35_全体</v>
          </cell>
          <cell r="IS1" t="str">
            <v>36_全体</v>
          </cell>
          <cell r="IT1" t="str">
            <v>37_全体</v>
          </cell>
          <cell r="IU1" t="str">
            <v>38_全体</v>
          </cell>
          <cell r="IV1" t="str">
            <v>39_全体</v>
          </cell>
          <cell r="IW1" t="str">
            <v>40_全体</v>
          </cell>
          <cell r="IX1" t="str">
            <v>41_全体</v>
          </cell>
          <cell r="IY1" t="str">
            <v>42_全体</v>
          </cell>
          <cell r="IZ1" t="str">
            <v>43_全体</v>
          </cell>
          <cell r="JA1" t="str">
            <v>44_全体</v>
          </cell>
          <cell r="JB1" t="str">
            <v>45_全体</v>
          </cell>
          <cell r="JC1" t="str">
            <v>46_全体</v>
          </cell>
          <cell r="JD1" t="str">
            <v>47_全体</v>
          </cell>
          <cell r="JE1" t="str">
            <v>48_全体</v>
          </cell>
          <cell r="JF1" t="str">
            <v>49_全体</v>
          </cell>
          <cell r="JG1" t="str">
            <v>50_全体</v>
          </cell>
          <cell r="JH1" t="str">
            <v>51_全体</v>
          </cell>
          <cell r="JI1" t="str">
            <v>52_全体</v>
          </cell>
          <cell r="JJ1" t="str">
            <v>53_全体</v>
          </cell>
          <cell r="JK1" t="str">
            <v>54_全体</v>
          </cell>
          <cell r="JL1" t="str">
            <v>55_全体</v>
          </cell>
          <cell r="JM1" t="str">
            <v>56_全体</v>
          </cell>
          <cell r="JN1" t="str">
            <v>57_全体</v>
          </cell>
          <cell r="JO1" t="str">
            <v>58_全体</v>
          </cell>
          <cell r="JP1" t="str">
            <v>59_全体</v>
          </cell>
          <cell r="JQ1" t="str">
            <v>60_全体</v>
          </cell>
          <cell r="JR1" t="str">
            <v>61_全体</v>
          </cell>
          <cell r="JS1" t="str">
            <v>62_全体</v>
          </cell>
          <cell r="JT1" t="str">
            <v>63_全体</v>
          </cell>
          <cell r="JU1" t="str">
            <v>64_全体</v>
          </cell>
          <cell r="JV1" t="str">
            <v>65_全体</v>
          </cell>
          <cell r="JW1" t="str">
            <v>66_全体</v>
          </cell>
          <cell r="JX1" t="str">
            <v>67_全体</v>
          </cell>
          <cell r="JY1" t="str">
            <v>68_全体</v>
          </cell>
          <cell r="JZ1" t="str">
            <v>69_全体</v>
          </cell>
          <cell r="KA1" t="str">
            <v>70_全体</v>
          </cell>
          <cell r="KB1" t="str">
            <v>71_全体</v>
          </cell>
          <cell r="KC1" t="str">
            <v>72_全体</v>
          </cell>
          <cell r="KD1" t="str">
            <v>73_全体</v>
          </cell>
          <cell r="KE1" t="str">
            <v>74_全体</v>
          </cell>
          <cell r="KF1" t="str">
            <v>75_全体</v>
          </cell>
          <cell r="KG1" t="str">
            <v>76_全体</v>
          </cell>
          <cell r="KH1" t="str">
            <v>77_全体</v>
          </cell>
          <cell r="KI1" t="str">
            <v>78_全体</v>
          </cell>
          <cell r="KJ1" t="str">
            <v>79_全体</v>
          </cell>
          <cell r="KK1" t="str">
            <v>80_全体</v>
          </cell>
          <cell r="KL1" t="str">
            <v>81_全体</v>
          </cell>
          <cell r="KM1" t="str">
            <v>82_全体</v>
          </cell>
          <cell r="KN1" t="str">
            <v>83_全体</v>
          </cell>
          <cell r="KO1" t="str">
            <v>84_全体</v>
          </cell>
          <cell r="KP1" t="str">
            <v>85_全体</v>
          </cell>
          <cell r="KQ1" t="str">
            <v>86_全体</v>
          </cell>
          <cell r="KR1" t="str">
            <v>87_全体</v>
          </cell>
          <cell r="KS1" t="str">
            <v>88_全体</v>
          </cell>
          <cell r="KT1" t="str">
            <v>89_全体</v>
          </cell>
          <cell r="KU1" t="str">
            <v>90_全体</v>
          </cell>
          <cell r="KV1" t="str">
            <v>91_全体</v>
          </cell>
          <cell r="KW1" t="str">
            <v>92_全体</v>
          </cell>
          <cell r="KX1" t="str">
            <v>93_全体</v>
          </cell>
          <cell r="KY1" t="str">
            <v>94_全体</v>
          </cell>
          <cell r="KZ1" t="str">
            <v>95_全体</v>
          </cell>
          <cell r="LA1" t="str">
            <v>96_全体</v>
          </cell>
          <cell r="LB1" t="str">
            <v>97_全体</v>
          </cell>
          <cell r="LC1" t="str">
            <v>98_全体</v>
          </cell>
          <cell r="LD1" t="str">
            <v>99_全体</v>
          </cell>
          <cell r="LE1" t="str">
            <v>100_全体</v>
          </cell>
          <cell r="LF1" t="str">
            <v>101_全体</v>
          </cell>
          <cell r="LG1" t="str">
            <v>102_全体</v>
          </cell>
          <cell r="LH1" t="str">
            <v>103_全体</v>
          </cell>
          <cell r="LI1" t="str">
            <v>104_全体</v>
          </cell>
          <cell r="LJ1" t="str">
            <v>105_全体</v>
          </cell>
          <cell r="LK1" t="str">
            <v>106_全体</v>
          </cell>
          <cell r="LL1" t="str">
            <v>年代0-4_男</v>
          </cell>
          <cell r="LM1" t="str">
            <v>年代5-9_男</v>
          </cell>
          <cell r="LN1" t="str">
            <v>年代10-14_男</v>
          </cell>
          <cell r="LO1" t="str">
            <v>年代15-19_男</v>
          </cell>
          <cell r="LP1" t="str">
            <v>年代20-24_男</v>
          </cell>
          <cell r="LQ1" t="str">
            <v>年代25-29_男</v>
          </cell>
          <cell r="LR1" t="str">
            <v>年代30-34_男</v>
          </cell>
          <cell r="LS1" t="str">
            <v>年代35-39_男</v>
          </cell>
          <cell r="LT1" t="str">
            <v>年代40-44_男</v>
          </cell>
          <cell r="LU1" t="str">
            <v>年代45-49_男</v>
          </cell>
          <cell r="LV1" t="str">
            <v>年代50-54_男</v>
          </cell>
          <cell r="LW1" t="str">
            <v>年代55-59_男</v>
          </cell>
          <cell r="LX1" t="str">
            <v>年代60-64_男</v>
          </cell>
          <cell r="LY1" t="str">
            <v>年代65-69_男</v>
          </cell>
          <cell r="LZ1" t="str">
            <v>年代70-74_男</v>
          </cell>
          <cell r="MA1" t="str">
            <v>年代75-79_男</v>
          </cell>
          <cell r="MB1" t="str">
            <v>年代80-84_男</v>
          </cell>
          <cell r="MC1" t="str">
            <v>年代85-89_男</v>
          </cell>
          <cell r="MD1" t="str">
            <v>年代90-94_男</v>
          </cell>
          <cell r="ME1" t="str">
            <v>年代95-99_男</v>
          </cell>
          <cell r="MF1" t="str">
            <v>年代100-104_男</v>
          </cell>
          <cell r="MG1" t="str">
            <v>年代0-4_女</v>
          </cell>
          <cell r="MH1" t="str">
            <v>年代5-9_女</v>
          </cell>
          <cell r="MI1" t="str">
            <v>年代10-14_女</v>
          </cell>
          <cell r="MJ1" t="str">
            <v>年代15-19_女</v>
          </cell>
          <cell r="MK1" t="str">
            <v>年代20-24_女</v>
          </cell>
          <cell r="ML1" t="str">
            <v>年代25-29_女</v>
          </cell>
          <cell r="MM1" t="str">
            <v>年代30-34_女</v>
          </cell>
          <cell r="MN1" t="str">
            <v>年代35-39_女</v>
          </cell>
          <cell r="MO1" t="str">
            <v>年代40-44_女</v>
          </cell>
          <cell r="MP1" t="str">
            <v>年代45-49_女</v>
          </cell>
          <cell r="MQ1" t="str">
            <v>年代50-54_女</v>
          </cell>
          <cell r="MR1" t="str">
            <v>年代55-59_女</v>
          </cell>
          <cell r="MS1" t="str">
            <v>年代60-64_女</v>
          </cell>
          <cell r="MT1" t="str">
            <v>年代65-69_女</v>
          </cell>
          <cell r="MU1" t="str">
            <v>年代70-74_女</v>
          </cell>
          <cell r="MV1" t="str">
            <v>年代75-79_女</v>
          </cell>
          <cell r="MW1" t="str">
            <v>年代80-84_女</v>
          </cell>
          <cell r="MX1" t="str">
            <v>年代85-89_女</v>
          </cell>
          <cell r="MY1" t="str">
            <v>年代90-94_女</v>
          </cell>
          <cell r="MZ1" t="str">
            <v>年代95-99_女</v>
          </cell>
          <cell r="NA1" t="str">
            <v>年代100-104_女</v>
          </cell>
          <cell r="NB1" t="str">
            <v>年代105-109_女</v>
          </cell>
          <cell r="NC1" t="str">
            <v>年代0-4_全体</v>
          </cell>
          <cell r="ND1" t="str">
            <v>年代5-9_全体</v>
          </cell>
          <cell r="NE1" t="str">
            <v>年代10-14_全体</v>
          </cell>
          <cell r="NF1" t="str">
            <v>年代15-19_全体</v>
          </cell>
          <cell r="NG1" t="str">
            <v>年代20-24_全体</v>
          </cell>
          <cell r="NH1" t="str">
            <v>年代25-29_全体</v>
          </cell>
          <cell r="NI1" t="str">
            <v>年代30-34_全体</v>
          </cell>
          <cell r="NJ1" t="str">
            <v>年代35-39_全体</v>
          </cell>
          <cell r="NK1" t="str">
            <v>年代40-44_全体</v>
          </cell>
          <cell r="NL1" t="str">
            <v>年代45-49_全体</v>
          </cell>
          <cell r="NM1" t="str">
            <v>年代50-54_全体</v>
          </cell>
          <cell r="NN1" t="str">
            <v>年代55-59_全体</v>
          </cell>
          <cell r="NO1" t="str">
            <v>年代60-64_全体</v>
          </cell>
          <cell r="NP1" t="str">
            <v>年代65-69_全体</v>
          </cell>
          <cell r="NQ1" t="str">
            <v>年代70-74_全体</v>
          </cell>
          <cell r="NR1" t="str">
            <v>年代75-79_全体</v>
          </cell>
          <cell r="NS1" t="str">
            <v>年代80-84_全体</v>
          </cell>
          <cell r="NT1" t="str">
            <v>年代85-89_全体</v>
          </cell>
          <cell r="NU1" t="str">
            <v>年代90-94_全体</v>
          </cell>
          <cell r="NV1" t="str">
            <v>年代95-99_全体</v>
          </cell>
          <cell r="NW1" t="str">
            <v>年代100-104_全体</v>
          </cell>
          <cell r="NX1" t="str">
            <v>年代105-109_全体</v>
          </cell>
          <cell r="NY1" t="str">
            <v>65以上_男</v>
          </cell>
          <cell r="NZ1" t="str">
            <v>65以上_女</v>
          </cell>
          <cell r="OA1" t="str">
            <v>65以上_全体</v>
          </cell>
          <cell r="OB1" t="str">
            <v>65以上_割合</v>
          </cell>
          <cell r="OC1" t="str">
            <v>合計_男</v>
          </cell>
          <cell r="OD1" t="str">
            <v>合計_女</v>
          </cell>
          <cell r="OE1" t="str">
            <v>合計_総合計</v>
          </cell>
          <cell r="OF1" t="str">
            <v>世帯数</v>
          </cell>
          <cell r="OG1" t="str">
            <v>平均_男</v>
          </cell>
          <cell r="OH1" t="str">
            <v>平均_女</v>
          </cell>
          <cell r="OI1" t="str">
            <v>平均_全体</v>
          </cell>
          <cell r="OJ1" t="str">
            <v>作成日</v>
          </cell>
          <cell r="OK1" t="str">
            <v>集計対象</v>
          </cell>
        </row>
        <row r="2">
          <cell r="A2" t="str">
            <v>大阪府摂津市</v>
          </cell>
          <cell r="B2" t="str">
            <v>全体</v>
          </cell>
          <cell r="C2" t="str">
            <v>平成31年 2月28日</v>
          </cell>
          <cell r="D2">
            <v>419</v>
          </cell>
          <cell r="E2">
            <v>397</v>
          </cell>
          <cell r="F2">
            <v>405</v>
          </cell>
          <cell r="G2">
            <v>392</v>
          </cell>
          <cell r="H2">
            <v>362</v>
          </cell>
          <cell r="I2">
            <v>381</v>
          </cell>
          <cell r="J2">
            <v>366</v>
          </cell>
          <cell r="K2">
            <v>358</v>
          </cell>
          <cell r="L2">
            <v>372</v>
          </cell>
          <cell r="M2">
            <v>397</v>
          </cell>
          <cell r="N2">
            <v>333</v>
          </cell>
          <cell r="O2">
            <v>373</v>
          </cell>
          <cell r="P2">
            <v>421</v>
          </cell>
          <cell r="Q2">
            <v>359</v>
          </cell>
          <cell r="R2">
            <v>403</v>
          </cell>
          <cell r="S2">
            <v>388</v>
          </cell>
          <cell r="T2">
            <v>385</v>
          </cell>
          <cell r="U2">
            <v>433</v>
          </cell>
          <cell r="V2">
            <v>429</v>
          </cell>
          <cell r="W2">
            <v>473</v>
          </cell>
          <cell r="X2">
            <v>453</v>
          </cell>
          <cell r="Y2">
            <v>449</v>
          </cell>
          <cell r="Z2">
            <v>476</v>
          </cell>
          <cell r="AA2">
            <v>498</v>
          </cell>
          <cell r="AB2">
            <v>486</v>
          </cell>
          <cell r="AC2">
            <v>517</v>
          </cell>
          <cell r="AD2">
            <v>503</v>
          </cell>
          <cell r="AE2">
            <v>501</v>
          </cell>
          <cell r="AF2">
            <v>533</v>
          </cell>
          <cell r="AG2">
            <v>495</v>
          </cell>
          <cell r="AH2">
            <v>587</v>
          </cell>
          <cell r="AI2">
            <v>536</v>
          </cell>
          <cell r="AJ2">
            <v>517</v>
          </cell>
          <cell r="AK2">
            <v>546</v>
          </cell>
          <cell r="AL2">
            <v>569</v>
          </cell>
          <cell r="AM2">
            <v>539</v>
          </cell>
          <cell r="AN2">
            <v>595</v>
          </cell>
          <cell r="AO2">
            <v>539</v>
          </cell>
          <cell r="AP2">
            <v>590</v>
          </cell>
          <cell r="AQ2">
            <v>566</v>
          </cell>
          <cell r="AR2">
            <v>594</v>
          </cell>
          <cell r="AS2">
            <v>654</v>
          </cell>
          <cell r="AT2">
            <v>623</v>
          </cell>
          <cell r="AU2">
            <v>724</v>
          </cell>
          <cell r="AV2">
            <v>763</v>
          </cell>
          <cell r="AW2">
            <v>870</v>
          </cell>
          <cell r="AX2">
            <v>840</v>
          </cell>
          <cell r="AY2">
            <v>799</v>
          </cell>
          <cell r="AZ2">
            <v>748</v>
          </cell>
          <cell r="BA2">
            <v>737</v>
          </cell>
          <cell r="BB2">
            <v>681</v>
          </cell>
          <cell r="BC2">
            <v>678</v>
          </cell>
          <cell r="BD2">
            <v>535</v>
          </cell>
          <cell r="BE2">
            <v>585</v>
          </cell>
          <cell r="BF2">
            <v>507</v>
          </cell>
          <cell r="BG2">
            <v>488</v>
          </cell>
          <cell r="BH2">
            <v>487</v>
          </cell>
          <cell r="BI2">
            <v>452</v>
          </cell>
          <cell r="BJ2">
            <v>415</v>
          </cell>
          <cell r="BK2">
            <v>415</v>
          </cell>
          <cell r="BL2">
            <v>438</v>
          </cell>
          <cell r="BM2">
            <v>411</v>
          </cell>
          <cell r="BN2">
            <v>394</v>
          </cell>
          <cell r="BO2">
            <v>432</v>
          </cell>
          <cell r="BP2">
            <v>414</v>
          </cell>
          <cell r="BQ2">
            <v>421</v>
          </cell>
          <cell r="BR2">
            <v>467</v>
          </cell>
          <cell r="BS2">
            <v>508</v>
          </cell>
          <cell r="BT2">
            <v>572</v>
          </cell>
          <cell r="BU2">
            <v>645</v>
          </cell>
          <cell r="BV2">
            <v>652</v>
          </cell>
          <cell r="BW2">
            <v>708</v>
          </cell>
          <cell r="BX2">
            <v>485</v>
          </cell>
          <cell r="BY2">
            <v>365</v>
          </cell>
          <cell r="BZ2">
            <v>476</v>
          </cell>
          <cell r="CA2">
            <v>533</v>
          </cell>
          <cell r="CB2">
            <v>480</v>
          </cell>
          <cell r="CC2">
            <v>531</v>
          </cell>
          <cell r="CD2">
            <v>445</v>
          </cell>
          <cell r="CE2">
            <v>369</v>
          </cell>
          <cell r="CF2">
            <v>319</v>
          </cell>
          <cell r="CG2">
            <v>335</v>
          </cell>
          <cell r="CH2">
            <v>274</v>
          </cell>
          <cell r="CI2">
            <v>261</v>
          </cell>
          <cell r="CJ2">
            <v>184</v>
          </cell>
          <cell r="CK2">
            <v>142</v>
          </cell>
          <cell r="CL2">
            <v>144</v>
          </cell>
          <cell r="CM2">
            <v>113</v>
          </cell>
          <cell r="CN2">
            <v>88</v>
          </cell>
          <cell r="CO2">
            <v>53</v>
          </cell>
          <cell r="CP2">
            <v>58</v>
          </cell>
          <cell r="CQ2">
            <v>37</v>
          </cell>
          <cell r="CR2">
            <v>33</v>
          </cell>
          <cell r="CS2">
            <v>29</v>
          </cell>
          <cell r="CT2">
            <v>10</v>
          </cell>
          <cell r="CU2">
            <v>9</v>
          </cell>
          <cell r="CV2">
            <v>8</v>
          </cell>
          <cell r="CW2">
            <v>6</v>
          </cell>
          <cell r="CX2">
            <v>4</v>
          </cell>
          <cell r="CY2">
            <v>0</v>
          </cell>
          <cell r="CZ2">
            <v>1</v>
          </cell>
          <cell r="DA2">
            <v>0</v>
          </cell>
          <cell r="DB2">
            <v>1</v>
          </cell>
          <cell r="DC2">
            <v>1</v>
          </cell>
          <cell r="DD2">
            <v>0</v>
          </cell>
          <cell r="DE2">
            <v>0</v>
          </cell>
          <cell r="DF2">
            <v>391</v>
          </cell>
          <cell r="DG2">
            <v>369</v>
          </cell>
          <cell r="DH2">
            <v>379</v>
          </cell>
          <cell r="DI2">
            <v>367</v>
          </cell>
          <cell r="DJ2">
            <v>397</v>
          </cell>
          <cell r="DK2">
            <v>325</v>
          </cell>
          <cell r="DL2">
            <v>341</v>
          </cell>
          <cell r="DM2">
            <v>367</v>
          </cell>
          <cell r="DN2">
            <v>376</v>
          </cell>
          <cell r="DO2">
            <v>355</v>
          </cell>
          <cell r="DP2">
            <v>358</v>
          </cell>
          <cell r="DQ2">
            <v>380</v>
          </cell>
          <cell r="DR2">
            <v>355</v>
          </cell>
          <cell r="DS2">
            <v>359</v>
          </cell>
          <cell r="DT2">
            <v>365</v>
          </cell>
          <cell r="DU2">
            <v>366</v>
          </cell>
          <cell r="DV2">
            <v>388</v>
          </cell>
          <cell r="DW2">
            <v>393</v>
          </cell>
          <cell r="DX2">
            <v>387</v>
          </cell>
          <cell r="DY2">
            <v>430</v>
          </cell>
          <cell r="DZ2">
            <v>434</v>
          </cell>
          <cell r="EA2">
            <v>417</v>
          </cell>
          <cell r="EB2">
            <v>449</v>
          </cell>
          <cell r="EC2">
            <v>443</v>
          </cell>
          <cell r="ED2">
            <v>420</v>
          </cell>
          <cell r="EE2">
            <v>424</v>
          </cell>
          <cell r="EF2">
            <v>476</v>
          </cell>
          <cell r="EG2">
            <v>451</v>
          </cell>
          <cell r="EH2">
            <v>539</v>
          </cell>
          <cell r="EI2">
            <v>492</v>
          </cell>
          <cell r="EJ2">
            <v>533</v>
          </cell>
          <cell r="EK2">
            <v>509</v>
          </cell>
          <cell r="EL2">
            <v>514</v>
          </cell>
          <cell r="EM2">
            <v>540</v>
          </cell>
          <cell r="EN2">
            <v>493</v>
          </cell>
          <cell r="EO2">
            <v>556</v>
          </cell>
          <cell r="EP2">
            <v>554</v>
          </cell>
          <cell r="EQ2">
            <v>536</v>
          </cell>
          <cell r="ER2">
            <v>539</v>
          </cell>
          <cell r="ES2">
            <v>551</v>
          </cell>
          <cell r="ET2">
            <v>558</v>
          </cell>
          <cell r="EU2">
            <v>601</v>
          </cell>
          <cell r="EV2">
            <v>571</v>
          </cell>
          <cell r="EW2">
            <v>657</v>
          </cell>
          <cell r="EX2">
            <v>715</v>
          </cell>
          <cell r="EY2">
            <v>748</v>
          </cell>
          <cell r="EZ2">
            <v>753</v>
          </cell>
          <cell r="FA2">
            <v>752</v>
          </cell>
          <cell r="FB2">
            <v>707</v>
          </cell>
          <cell r="FC2">
            <v>624</v>
          </cell>
          <cell r="FD2">
            <v>626</v>
          </cell>
          <cell r="FE2">
            <v>609</v>
          </cell>
          <cell r="FF2">
            <v>436</v>
          </cell>
          <cell r="FG2">
            <v>498</v>
          </cell>
          <cell r="FH2">
            <v>498</v>
          </cell>
          <cell r="FI2">
            <v>450</v>
          </cell>
          <cell r="FJ2">
            <v>453</v>
          </cell>
          <cell r="FK2">
            <v>418</v>
          </cell>
          <cell r="FL2">
            <v>377</v>
          </cell>
          <cell r="FM2">
            <v>413</v>
          </cell>
          <cell r="FN2">
            <v>414</v>
          </cell>
          <cell r="FO2">
            <v>388</v>
          </cell>
          <cell r="FP2">
            <v>407</v>
          </cell>
          <cell r="FQ2">
            <v>429</v>
          </cell>
          <cell r="FR2">
            <v>448</v>
          </cell>
          <cell r="FS2">
            <v>475</v>
          </cell>
          <cell r="FT2">
            <v>505</v>
          </cell>
          <cell r="FU2">
            <v>559</v>
          </cell>
          <cell r="FV2">
            <v>634</v>
          </cell>
          <cell r="FW2">
            <v>740</v>
          </cell>
          <cell r="FX2">
            <v>801</v>
          </cell>
          <cell r="FY2">
            <v>766</v>
          </cell>
          <cell r="FZ2">
            <v>562</v>
          </cell>
          <cell r="GA2">
            <v>464</v>
          </cell>
          <cell r="GB2">
            <v>576</v>
          </cell>
          <cell r="GC2">
            <v>617</v>
          </cell>
          <cell r="GD2">
            <v>640</v>
          </cell>
          <cell r="GE2">
            <v>598</v>
          </cell>
          <cell r="GF2">
            <v>548</v>
          </cell>
          <cell r="GG2">
            <v>418</v>
          </cell>
          <cell r="GH2">
            <v>379</v>
          </cell>
          <cell r="GI2">
            <v>375</v>
          </cell>
          <cell r="GJ2">
            <v>340</v>
          </cell>
          <cell r="GK2">
            <v>318</v>
          </cell>
          <cell r="GL2">
            <v>285</v>
          </cell>
          <cell r="GM2">
            <v>273</v>
          </cell>
          <cell r="GN2">
            <v>218</v>
          </cell>
          <cell r="GO2">
            <v>188</v>
          </cell>
          <cell r="GP2">
            <v>153</v>
          </cell>
          <cell r="GQ2">
            <v>167</v>
          </cell>
          <cell r="GR2">
            <v>138</v>
          </cell>
          <cell r="GS2">
            <v>111</v>
          </cell>
          <cell r="GT2">
            <v>93</v>
          </cell>
          <cell r="GU2">
            <v>68</v>
          </cell>
          <cell r="GV2">
            <v>64</v>
          </cell>
          <cell r="GW2">
            <v>47</v>
          </cell>
          <cell r="GX2">
            <v>36</v>
          </cell>
          <cell r="GY2">
            <v>26</v>
          </cell>
          <cell r="GZ2">
            <v>22</v>
          </cell>
          <cell r="HA2">
            <v>20</v>
          </cell>
          <cell r="HB2">
            <v>5</v>
          </cell>
          <cell r="HC2">
            <v>3</v>
          </cell>
          <cell r="HD2">
            <v>3</v>
          </cell>
          <cell r="HE2">
            <v>5</v>
          </cell>
          <cell r="HF2">
            <v>1</v>
          </cell>
          <cell r="HG2">
            <v>1</v>
          </cell>
          <cell r="HH2">
            <v>1</v>
          </cell>
          <cell r="HI2">
            <v>810</v>
          </cell>
          <cell r="HJ2">
            <v>766</v>
          </cell>
          <cell r="HK2">
            <v>784</v>
          </cell>
          <cell r="HL2">
            <v>759</v>
          </cell>
          <cell r="HM2">
            <v>759</v>
          </cell>
          <cell r="HN2">
            <v>706</v>
          </cell>
          <cell r="HO2">
            <v>707</v>
          </cell>
          <cell r="HP2">
            <v>725</v>
          </cell>
          <cell r="HQ2">
            <v>748</v>
          </cell>
          <cell r="HR2">
            <v>752</v>
          </cell>
          <cell r="HS2">
            <v>691</v>
          </cell>
          <cell r="HT2">
            <v>753</v>
          </cell>
          <cell r="HU2">
            <v>776</v>
          </cell>
          <cell r="HV2">
            <v>718</v>
          </cell>
          <cell r="HW2">
            <v>768</v>
          </cell>
          <cell r="HX2">
            <v>754</v>
          </cell>
          <cell r="HY2">
            <v>773</v>
          </cell>
          <cell r="HZ2">
            <v>826</v>
          </cell>
          <cell r="IA2">
            <v>816</v>
          </cell>
          <cell r="IB2">
            <v>903</v>
          </cell>
          <cell r="IC2">
            <v>887</v>
          </cell>
          <cell r="ID2">
            <v>866</v>
          </cell>
          <cell r="IE2">
            <v>925</v>
          </cell>
          <cell r="IF2">
            <v>941</v>
          </cell>
          <cell r="IG2">
            <v>906</v>
          </cell>
          <cell r="IH2">
            <v>941</v>
          </cell>
          <cell r="II2">
            <v>979</v>
          </cell>
          <cell r="IJ2">
            <v>952</v>
          </cell>
          <cell r="IK2">
            <v>1072</v>
          </cell>
          <cell r="IL2">
            <v>987</v>
          </cell>
          <cell r="IM2">
            <v>1120</v>
          </cell>
          <cell r="IN2">
            <v>1045</v>
          </cell>
          <cell r="IO2">
            <v>1031</v>
          </cell>
          <cell r="IP2">
            <v>1086</v>
          </cell>
          <cell r="IQ2">
            <v>1062</v>
          </cell>
          <cell r="IR2">
            <v>1095</v>
          </cell>
          <cell r="IS2">
            <v>1149</v>
          </cell>
          <cell r="IT2">
            <v>1075</v>
          </cell>
          <cell r="IU2">
            <v>1129</v>
          </cell>
          <cell r="IV2">
            <v>1117</v>
          </cell>
          <cell r="IW2">
            <v>1152</v>
          </cell>
          <cell r="IX2">
            <v>1255</v>
          </cell>
          <cell r="IY2">
            <v>1194</v>
          </cell>
          <cell r="IZ2">
            <v>1381</v>
          </cell>
          <cell r="JA2">
            <v>1478</v>
          </cell>
          <cell r="JB2">
            <v>1618</v>
          </cell>
          <cell r="JC2">
            <v>1593</v>
          </cell>
          <cell r="JD2">
            <v>1551</v>
          </cell>
          <cell r="JE2">
            <v>1455</v>
          </cell>
          <cell r="JF2">
            <v>1361</v>
          </cell>
          <cell r="JG2">
            <v>1307</v>
          </cell>
          <cell r="JH2">
            <v>1287</v>
          </cell>
          <cell r="JI2">
            <v>971</v>
          </cell>
          <cell r="JJ2">
            <v>1083</v>
          </cell>
          <cell r="JK2">
            <v>1005</v>
          </cell>
          <cell r="JL2">
            <v>938</v>
          </cell>
          <cell r="JM2">
            <v>940</v>
          </cell>
          <cell r="JN2">
            <v>870</v>
          </cell>
          <cell r="JO2">
            <v>792</v>
          </cell>
          <cell r="JP2">
            <v>828</v>
          </cell>
          <cell r="JQ2">
            <v>852</v>
          </cell>
          <cell r="JR2">
            <v>799</v>
          </cell>
          <cell r="JS2">
            <v>801</v>
          </cell>
          <cell r="JT2">
            <v>861</v>
          </cell>
          <cell r="JU2">
            <v>862</v>
          </cell>
          <cell r="JV2">
            <v>896</v>
          </cell>
          <cell r="JW2">
            <v>972</v>
          </cell>
          <cell r="JX2">
            <v>1067</v>
          </cell>
          <cell r="JY2">
            <v>1206</v>
          </cell>
          <cell r="JZ2">
            <v>1385</v>
          </cell>
          <cell r="KA2">
            <v>1453</v>
          </cell>
          <cell r="KB2">
            <v>1474</v>
          </cell>
          <cell r="KC2">
            <v>1047</v>
          </cell>
          <cell r="KD2">
            <v>829</v>
          </cell>
          <cell r="KE2">
            <v>1052</v>
          </cell>
          <cell r="KF2">
            <v>1150</v>
          </cell>
          <cell r="KG2">
            <v>1120</v>
          </cell>
          <cell r="KH2">
            <v>1129</v>
          </cell>
          <cell r="KI2">
            <v>993</v>
          </cell>
          <cell r="KJ2">
            <v>787</v>
          </cell>
          <cell r="KK2">
            <v>698</v>
          </cell>
          <cell r="KL2">
            <v>710</v>
          </cell>
          <cell r="KM2">
            <v>614</v>
          </cell>
          <cell r="KN2">
            <v>579</v>
          </cell>
          <cell r="KO2">
            <v>469</v>
          </cell>
          <cell r="KP2">
            <v>415</v>
          </cell>
          <cell r="KQ2">
            <v>362</v>
          </cell>
          <cell r="KR2">
            <v>301</v>
          </cell>
          <cell r="KS2">
            <v>241</v>
          </cell>
          <cell r="KT2">
            <v>220</v>
          </cell>
          <cell r="KU2">
            <v>196</v>
          </cell>
          <cell r="KV2">
            <v>148</v>
          </cell>
          <cell r="KW2">
            <v>126</v>
          </cell>
          <cell r="KX2">
            <v>97</v>
          </cell>
          <cell r="KY2">
            <v>74</v>
          </cell>
          <cell r="KZ2">
            <v>56</v>
          </cell>
          <cell r="LA2">
            <v>44</v>
          </cell>
          <cell r="LB2">
            <v>32</v>
          </cell>
          <cell r="LC2">
            <v>26</v>
          </cell>
          <cell r="LD2">
            <v>20</v>
          </cell>
          <cell r="LE2">
            <v>6</v>
          </cell>
          <cell r="LF2">
            <v>3</v>
          </cell>
          <cell r="LG2">
            <v>4</v>
          </cell>
          <cell r="LH2">
            <v>6</v>
          </cell>
          <cell r="LI2">
            <v>1</v>
          </cell>
          <cell r="LJ2">
            <v>1</v>
          </cell>
          <cell r="LK2">
            <v>1</v>
          </cell>
          <cell r="LL2">
            <v>1975</v>
          </cell>
          <cell r="LM2">
            <v>1874</v>
          </cell>
          <cell r="LN2">
            <v>1889</v>
          </cell>
          <cell r="LO2">
            <v>2108</v>
          </cell>
          <cell r="LP2">
            <v>2362</v>
          </cell>
          <cell r="LQ2">
            <v>2549</v>
          </cell>
          <cell r="LR2">
            <v>2755</v>
          </cell>
          <cell r="LS2">
            <v>2829</v>
          </cell>
          <cell r="LT2">
            <v>3358</v>
          </cell>
          <cell r="LU2">
            <v>3994</v>
          </cell>
          <cell r="LV2">
            <v>2986</v>
          </cell>
          <cell r="LW2">
            <v>2257</v>
          </cell>
          <cell r="LX2">
            <v>2089</v>
          </cell>
          <cell r="LY2">
            <v>2613</v>
          </cell>
          <cell r="LZ2">
            <v>2686</v>
          </cell>
          <cell r="MA2">
            <v>2358</v>
          </cell>
          <cell r="MB2">
            <v>1373</v>
          </cell>
          <cell r="MC2">
            <v>540</v>
          </cell>
          <cell r="MD2">
            <v>167</v>
          </cell>
          <cell r="ME2">
            <v>27</v>
          </cell>
          <cell r="MF2">
            <v>3</v>
          </cell>
          <cell r="MG2">
            <v>1903</v>
          </cell>
          <cell r="MH2">
            <v>1764</v>
          </cell>
          <cell r="MI2">
            <v>1817</v>
          </cell>
          <cell r="MJ2">
            <v>1964</v>
          </cell>
          <cell r="MK2">
            <v>2163</v>
          </cell>
          <cell r="ML2">
            <v>2382</v>
          </cell>
          <cell r="MM2">
            <v>2589</v>
          </cell>
          <cell r="MN2">
            <v>2736</v>
          </cell>
          <cell r="MO2">
            <v>3102</v>
          </cell>
          <cell r="MP2">
            <v>3584</v>
          </cell>
          <cell r="MQ2">
            <v>2667</v>
          </cell>
          <cell r="MR2">
            <v>2111</v>
          </cell>
          <cell r="MS2">
            <v>2086</v>
          </cell>
          <cell r="MT2">
            <v>2913</v>
          </cell>
          <cell r="MU2">
            <v>3169</v>
          </cell>
          <cell r="MV2">
            <v>2821</v>
          </cell>
          <cell r="MW2">
            <v>1697</v>
          </cell>
          <cell r="MX2">
            <v>999</v>
          </cell>
          <cell r="MY2">
            <v>474</v>
          </cell>
          <cell r="MZ2">
            <v>151</v>
          </cell>
          <cell r="NA2">
            <v>17</v>
          </cell>
          <cell r="NB2">
            <v>2</v>
          </cell>
          <cell r="NC2">
            <v>3878</v>
          </cell>
          <cell r="ND2">
            <v>3638</v>
          </cell>
          <cell r="NE2">
            <v>3706</v>
          </cell>
          <cell r="NF2">
            <v>4072</v>
          </cell>
          <cell r="NG2">
            <v>4525</v>
          </cell>
          <cell r="NH2">
            <v>4931</v>
          </cell>
          <cell r="NI2">
            <v>5344</v>
          </cell>
          <cell r="NJ2">
            <v>5565</v>
          </cell>
          <cell r="NK2">
            <v>6460</v>
          </cell>
          <cell r="NL2">
            <v>7578</v>
          </cell>
          <cell r="NM2">
            <v>5653</v>
          </cell>
          <cell r="NN2">
            <v>4368</v>
          </cell>
          <cell r="NO2">
            <v>4175</v>
          </cell>
          <cell r="NP2">
            <v>5526</v>
          </cell>
          <cell r="NQ2">
            <v>5855</v>
          </cell>
          <cell r="NR2">
            <v>5179</v>
          </cell>
          <cell r="NS2">
            <v>3070</v>
          </cell>
          <cell r="NT2">
            <v>1539</v>
          </cell>
          <cell r="NU2">
            <v>641</v>
          </cell>
          <cell r="NV2">
            <v>178</v>
          </cell>
          <cell r="NW2">
            <v>20</v>
          </cell>
          <cell r="NX2">
            <v>2</v>
          </cell>
          <cell r="NY2">
            <v>9767</v>
          </cell>
          <cell r="NZ2">
            <v>12243</v>
          </cell>
          <cell r="OA2">
            <v>22010</v>
          </cell>
          <cell r="OB2">
            <v>25.6</v>
          </cell>
          <cell r="OC2">
            <v>42792</v>
          </cell>
          <cell r="OD2">
            <v>43111</v>
          </cell>
          <cell r="OE2">
            <v>85903</v>
          </cell>
          <cell r="OF2">
            <v>40605</v>
          </cell>
          <cell r="OG2">
            <v>43</v>
          </cell>
          <cell r="OH2">
            <v>46</v>
          </cell>
          <cell r="OI2">
            <v>45</v>
          </cell>
          <cell r="OJ2" t="str">
            <v>平成31年 3月 4日</v>
          </cell>
          <cell r="OK2" t="str">
            <v>※外国人を含めた集計です。</v>
          </cell>
        </row>
      </sheetData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操作方法"/>
      <sheetName val="データ貼り付けシート"/>
      <sheetName val="印刷用シート"/>
      <sheetName val="ホームページ用シート"/>
    </sheetNames>
    <sheetDataSet>
      <sheetData sheetId="0"/>
      <sheetData sheetId="1">
        <row r="1">
          <cell r="A1" t="str">
            <v>自治体名</v>
          </cell>
          <cell r="B1" t="str">
            <v>集計区分</v>
          </cell>
          <cell r="C1" t="str">
            <v>基準日</v>
          </cell>
          <cell r="D1" t="str">
            <v>0_男</v>
          </cell>
          <cell r="E1" t="str">
            <v>1_男</v>
          </cell>
          <cell r="F1" t="str">
            <v>2_男</v>
          </cell>
          <cell r="G1" t="str">
            <v>3_男</v>
          </cell>
          <cell r="H1" t="str">
            <v>4_男</v>
          </cell>
          <cell r="I1" t="str">
            <v>5_男</v>
          </cell>
          <cell r="J1" t="str">
            <v>6_男</v>
          </cell>
          <cell r="K1" t="str">
            <v>7_男</v>
          </cell>
          <cell r="L1" t="str">
            <v>8_男</v>
          </cell>
          <cell r="M1" t="str">
            <v>9_男</v>
          </cell>
          <cell r="N1" t="str">
            <v>10_男</v>
          </cell>
          <cell r="O1" t="str">
            <v>11_男</v>
          </cell>
          <cell r="P1" t="str">
            <v>12_男</v>
          </cell>
          <cell r="Q1" t="str">
            <v>13_男</v>
          </cell>
          <cell r="R1" t="str">
            <v>14_男</v>
          </cell>
          <cell r="S1" t="str">
            <v>15_男</v>
          </cell>
          <cell r="T1" t="str">
            <v>16_男</v>
          </cell>
          <cell r="U1" t="str">
            <v>17_男</v>
          </cell>
          <cell r="V1" t="str">
            <v>18_男</v>
          </cell>
          <cell r="W1" t="str">
            <v>19_男</v>
          </cell>
          <cell r="X1" t="str">
            <v>20_男</v>
          </cell>
          <cell r="Y1" t="str">
            <v>21_男</v>
          </cell>
          <cell r="Z1" t="str">
            <v>22_男</v>
          </cell>
          <cell r="AA1" t="str">
            <v>23_男</v>
          </cell>
          <cell r="AB1" t="str">
            <v>24_男</v>
          </cell>
          <cell r="AC1" t="str">
            <v>25_男</v>
          </cell>
          <cell r="AD1" t="str">
            <v>26_男</v>
          </cell>
          <cell r="AE1" t="str">
            <v>27_男</v>
          </cell>
          <cell r="AF1" t="str">
            <v>28_男</v>
          </cell>
          <cell r="AG1" t="str">
            <v>29_男</v>
          </cell>
          <cell r="AH1" t="str">
            <v>30_男</v>
          </cell>
          <cell r="AI1" t="str">
            <v>31_男</v>
          </cell>
          <cell r="AJ1" t="str">
            <v>32_男</v>
          </cell>
          <cell r="AK1" t="str">
            <v>33_男</v>
          </cell>
          <cell r="AL1" t="str">
            <v>34_男</v>
          </cell>
          <cell r="AM1" t="str">
            <v>35_男</v>
          </cell>
          <cell r="AN1" t="str">
            <v>36_男</v>
          </cell>
          <cell r="AO1" t="str">
            <v>37_男</v>
          </cell>
          <cell r="AP1" t="str">
            <v>38_男</v>
          </cell>
          <cell r="AQ1" t="str">
            <v>39_男</v>
          </cell>
          <cell r="AR1" t="str">
            <v>40_男</v>
          </cell>
          <cell r="AS1" t="str">
            <v>41_男</v>
          </cell>
          <cell r="AT1" t="str">
            <v>42_男</v>
          </cell>
          <cell r="AU1" t="str">
            <v>43_男</v>
          </cell>
          <cell r="AV1" t="str">
            <v>44_男</v>
          </cell>
          <cell r="AW1" t="str">
            <v>45_男</v>
          </cell>
          <cell r="AX1" t="str">
            <v>46_男</v>
          </cell>
          <cell r="AY1" t="str">
            <v>47_男</v>
          </cell>
          <cell r="AZ1" t="str">
            <v>48_男</v>
          </cell>
          <cell r="BA1" t="str">
            <v>49_男</v>
          </cell>
          <cell r="BB1" t="str">
            <v>50_男</v>
          </cell>
          <cell r="BC1" t="str">
            <v>51_男</v>
          </cell>
          <cell r="BD1" t="str">
            <v>52_男</v>
          </cell>
          <cell r="BE1" t="str">
            <v>53_男</v>
          </cell>
          <cell r="BF1" t="str">
            <v>54_男</v>
          </cell>
          <cell r="BG1" t="str">
            <v>55_男</v>
          </cell>
          <cell r="BH1" t="str">
            <v>56_男</v>
          </cell>
          <cell r="BI1" t="str">
            <v>57_男</v>
          </cell>
          <cell r="BJ1" t="str">
            <v>58_男</v>
          </cell>
          <cell r="BK1" t="str">
            <v>59_男</v>
          </cell>
          <cell r="BL1" t="str">
            <v>60_男</v>
          </cell>
          <cell r="BM1" t="str">
            <v>61_男</v>
          </cell>
          <cell r="BN1" t="str">
            <v>62_男</v>
          </cell>
          <cell r="BO1" t="str">
            <v>63_男</v>
          </cell>
          <cell r="BP1" t="str">
            <v>64_男</v>
          </cell>
          <cell r="BQ1" t="str">
            <v>65_男</v>
          </cell>
          <cell r="BR1" t="str">
            <v>66_男</v>
          </cell>
          <cell r="BS1" t="str">
            <v>67_男</v>
          </cell>
          <cell r="BT1" t="str">
            <v>68_男</v>
          </cell>
          <cell r="BU1" t="str">
            <v>69_男</v>
          </cell>
          <cell r="BV1" t="str">
            <v>70_男</v>
          </cell>
          <cell r="BW1" t="str">
            <v>71_男</v>
          </cell>
          <cell r="BX1" t="str">
            <v>72_男</v>
          </cell>
          <cell r="BY1" t="str">
            <v>73_男</v>
          </cell>
          <cell r="BZ1" t="str">
            <v>74_男</v>
          </cell>
          <cell r="CA1" t="str">
            <v>75_男</v>
          </cell>
          <cell r="CB1" t="str">
            <v>76_男</v>
          </cell>
          <cell r="CC1" t="str">
            <v>77_男</v>
          </cell>
          <cell r="CD1" t="str">
            <v>78_男</v>
          </cell>
          <cell r="CE1" t="str">
            <v>79_男</v>
          </cell>
          <cell r="CF1" t="str">
            <v>80_男</v>
          </cell>
          <cell r="CG1" t="str">
            <v>81_男</v>
          </cell>
          <cell r="CH1" t="str">
            <v>82_男</v>
          </cell>
          <cell r="CI1" t="str">
            <v>83_男</v>
          </cell>
          <cell r="CJ1" t="str">
            <v>84_男</v>
          </cell>
          <cell r="CK1" t="str">
            <v>85_男</v>
          </cell>
          <cell r="CL1" t="str">
            <v>86_男</v>
          </cell>
          <cell r="CM1" t="str">
            <v>87_男</v>
          </cell>
          <cell r="CN1" t="str">
            <v>88_男</v>
          </cell>
          <cell r="CO1" t="str">
            <v>89_男</v>
          </cell>
          <cell r="CP1" t="str">
            <v>90_男</v>
          </cell>
          <cell r="CQ1" t="str">
            <v>91_男</v>
          </cell>
          <cell r="CR1" t="str">
            <v>92_男</v>
          </cell>
          <cell r="CS1" t="str">
            <v>93_男</v>
          </cell>
          <cell r="CT1" t="str">
            <v>94_男</v>
          </cell>
          <cell r="CU1" t="str">
            <v>95_男</v>
          </cell>
          <cell r="CV1" t="str">
            <v>96_男</v>
          </cell>
          <cell r="CW1" t="str">
            <v>97_男</v>
          </cell>
          <cell r="CX1" t="str">
            <v>98_男</v>
          </cell>
          <cell r="CY1" t="str">
            <v>99_男</v>
          </cell>
          <cell r="CZ1" t="str">
            <v>100_男</v>
          </cell>
          <cell r="DA1" t="str">
            <v>101_男</v>
          </cell>
          <cell r="DB1" t="str">
            <v>102_男</v>
          </cell>
          <cell r="DC1" t="str">
            <v>103_男</v>
          </cell>
          <cell r="DD1" t="str">
            <v>104_男</v>
          </cell>
          <cell r="DE1" t="str">
            <v>105以上_男</v>
          </cell>
          <cell r="DF1" t="str">
            <v>0_女</v>
          </cell>
          <cell r="DG1" t="str">
            <v>1_女</v>
          </cell>
          <cell r="DH1" t="str">
            <v>2_女</v>
          </cell>
          <cell r="DI1" t="str">
            <v>3_女</v>
          </cell>
          <cell r="DJ1" t="str">
            <v>4_女</v>
          </cell>
          <cell r="DK1" t="str">
            <v>5_女</v>
          </cell>
          <cell r="DL1" t="str">
            <v>6_女</v>
          </cell>
          <cell r="DM1" t="str">
            <v>7_女</v>
          </cell>
          <cell r="DN1" t="str">
            <v>8_女</v>
          </cell>
          <cell r="DO1" t="str">
            <v>9_女</v>
          </cell>
          <cell r="DP1" t="str">
            <v>10_女</v>
          </cell>
          <cell r="DQ1" t="str">
            <v>11_女</v>
          </cell>
          <cell r="DR1" t="str">
            <v>12_女</v>
          </cell>
          <cell r="DS1" t="str">
            <v>13_女</v>
          </cell>
          <cell r="DT1" t="str">
            <v>14_女</v>
          </cell>
          <cell r="DU1" t="str">
            <v>15_女</v>
          </cell>
          <cell r="DV1" t="str">
            <v>16_女</v>
          </cell>
          <cell r="DW1" t="str">
            <v>17_女</v>
          </cell>
          <cell r="DX1" t="str">
            <v>18_女</v>
          </cell>
          <cell r="DY1" t="str">
            <v>19_女</v>
          </cell>
          <cell r="DZ1" t="str">
            <v>20_女</v>
          </cell>
          <cell r="EA1" t="str">
            <v>21_女</v>
          </cell>
          <cell r="EB1" t="str">
            <v>22_女</v>
          </cell>
          <cell r="EC1" t="str">
            <v>23_女</v>
          </cell>
          <cell r="ED1" t="str">
            <v>24_女</v>
          </cell>
          <cell r="EE1" t="str">
            <v>25_女</v>
          </cell>
          <cell r="EF1" t="str">
            <v>26_女</v>
          </cell>
          <cell r="EG1" t="str">
            <v>27_女</v>
          </cell>
          <cell r="EH1" t="str">
            <v>28_女</v>
          </cell>
          <cell r="EI1" t="str">
            <v>29_女</v>
          </cell>
          <cell r="EJ1" t="str">
            <v>30_女</v>
          </cell>
          <cell r="EK1" t="str">
            <v>31_女</v>
          </cell>
          <cell r="EL1" t="str">
            <v>32_女</v>
          </cell>
          <cell r="EM1" t="str">
            <v>33_女</v>
          </cell>
          <cell r="EN1" t="str">
            <v>34_女</v>
          </cell>
          <cell r="EO1" t="str">
            <v>35_女</v>
          </cell>
          <cell r="EP1" t="str">
            <v>36_女</v>
          </cell>
          <cell r="EQ1" t="str">
            <v>37_女</v>
          </cell>
          <cell r="ER1" t="str">
            <v>38_女</v>
          </cell>
          <cell r="ES1" t="str">
            <v>39_女</v>
          </cell>
          <cell r="ET1" t="str">
            <v>40_女</v>
          </cell>
          <cell r="EU1" t="str">
            <v>41_女</v>
          </cell>
          <cell r="EV1" t="str">
            <v>42_女</v>
          </cell>
          <cell r="EW1" t="str">
            <v>43_女</v>
          </cell>
          <cell r="EX1" t="str">
            <v>44_女</v>
          </cell>
          <cell r="EY1" t="str">
            <v>45_女</v>
          </cell>
          <cell r="EZ1" t="str">
            <v>46_女</v>
          </cell>
          <cell r="FA1" t="str">
            <v>47_女</v>
          </cell>
          <cell r="FB1" t="str">
            <v>48_女</v>
          </cell>
          <cell r="FC1" t="str">
            <v>49_女</v>
          </cell>
          <cell r="FD1" t="str">
            <v>50_女</v>
          </cell>
          <cell r="FE1" t="str">
            <v>51_女</v>
          </cell>
          <cell r="FF1" t="str">
            <v>52_女</v>
          </cell>
          <cell r="FG1" t="str">
            <v>53_女</v>
          </cell>
          <cell r="FH1" t="str">
            <v>54_女</v>
          </cell>
          <cell r="FI1" t="str">
            <v>55_女</v>
          </cell>
          <cell r="FJ1" t="str">
            <v>56_女</v>
          </cell>
          <cell r="FK1" t="str">
            <v>57_女</v>
          </cell>
          <cell r="FL1" t="str">
            <v>58_女</v>
          </cell>
          <cell r="FM1" t="str">
            <v>59_女</v>
          </cell>
          <cell r="FN1" t="str">
            <v>60_女</v>
          </cell>
          <cell r="FO1" t="str">
            <v>61_女</v>
          </cell>
          <cell r="FP1" t="str">
            <v>62_女</v>
          </cell>
          <cell r="FQ1" t="str">
            <v>63_女</v>
          </cell>
          <cell r="FR1" t="str">
            <v>64_女</v>
          </cell>
          <cell r="FS1" t="str">
            <v>65_女</v>
          </cell>
          <cell r="FT1" t="str">
            <v>66_女</v>
          </cell>
          <cell r="FU1" t="str">
            <v>67_女</v>
          </cell>
          <cell r="FV1" t="str">
            <v>68_女</v>
          </cell>
          <cell r="FW1" t="str">
            <v>69_女</v>
          </cell>
          <cell r="FX1" t="str">
            <v>70_女</v>
          </cell>
          <cell r="FY1" t="str">
            <v>71_女</v>
          </cell>
          <cell r="FZ1" t="str">
            <v>72_女</v>
          </cell>
          <cell r="GA1" t="str">
            <v>73_女</v>
          </cell>
          <cell r="GB1" t="str">
            <v>74_女</v>
          </cell>
          <cell r="GC1" t="str">
            <v>75_女</v>
          </cell>
          <cell r="GD1" t="str">
            <v>76_女</v>
          </cell>
          <cell r="GE1" t="str">
            <v>77_女</v>
          </cell>
          <cell r="GF1" t="str">
            <v>78_女</v>
          </cell>
          <cell r="GG1" t="str">
            <v>79_女</v>
          </cell>
          <cell r="GH1" t="str">
            <v>80_女</v>
          </cell>
          <cell r="GI1" t="str">
            <v>81_女</v>
          </cell>
          <cell r="GJ1" t="str">
            <v>82_女</v>
          </cell>
          <cell r="GK1" t="str">
            <v>83_女</v>
          </cell>
          <cell r="GL1" t="str">
            <v>84_女</v>
          </cell>
          <cell r="GM1" t="str">
            <v>85_女</v>
          </cell>
          <cell r="GN1" t="str">
            <v>86_女</v>
          </cell>
          <cell r="GO1" t="str">
            <v>87_女</v>
          </cell>
          <cell r="GP1" t="str">
            <v>88_女</v>
          </cell>
          <cell r="GQ1" t="str">
            <v>89_女</v>
          </cell>
          <cell r="GR1" t="str">
            <v>90_女</v>
          </cell>
          <cell r="GS1" t="str">
            <v>91_女</v>
          </cell>
          <cell r="GT1" t="str">
            <v>92_女</v>
          </cell>
          <cell r="GU1" t="str">
            <v>93_女</v>
          </cell>
          <cell r="GV1" t="str">
            <v>94_女</v>
          </cell>
          <cell r="GW1" t="str">
            <v>95_女</v>
          </cell>
          <cell r="GX1" t="str">
            <v>96_女</v>
          </cell>
          <cell r="GY1" t="str">
            <v>97_女</v>
          </cell>
          <cell r="GZ1" t="str">
            <v>98_女</v>
          </cell>
          <cell r="HA1" t="str">
            <v>99_女</v>
          </cell>
          <cell r="HB1" t="str">
            <v>100_女</v>
          </cell>
          <cell r="HC1" t="str">
            <v>101_女</v>
          </cell>
          <cell r="HD1" t="str">
            <v>102_女</v>
          </cell>
          <cell r="HE1" t="str">
            <v>103_女</v>
          </cell>
          <cell r="HF1" t="str">
            <v>104_女</v>
          </cell>
          <cell r="HG1" t="str">
            <v>105_女</v>
          </cell>
          <cell r="HH1" t="str">
            <v>106_女</v>
          </cell>
          <cell r="HI1" t="str">
            <v>0_全体</v>
          </cell>
          <cell r="HJ1" t="str">
            <v>1_全体</v>
          </cell>
          <cell r="HK1" t="str">
            <v>2_全体</v>
          </cell>
          <cell r="HL1" t="str">
            <v>3_全体</v>
          </cell>
          <cell r="HM1" t="str">
            <v>4_全体</v>
          </cell>
          <cell r="HN1" t="str">
            <v>5_全体</v>
          </cell>
          <cell r="HO1" t="str">
            <v>6_全体</v>
          </cell>
          <cell r="HP1" t="str">
            <v>7_全体</v>
          </cell>
          <cell r="HQ1" t="str">
            <v>8_全体</v>
          </cell>
          <cell r="HR1" t="str">
            <v>9_全体</v>
          </cell>
          <cell r="HS1" t="str">
            <v>10_全体</v>
          </cell>
          <cell r="HT1" t="str">
            <v>11_全体</v>
          </cell>
          <cell r="HU1" t="str">
            <v>12_全体</v>
          </cell>
          <cell r="HV1" t="str">
            <v>13_全体</v>
          </cell>
          <cell r="HW1" t="str">
            <v>14_全体</v>
          </cell>
          <cell r="HX1" t="str">
            <v>15_全体</v>
          </cell>
          <cell r="HY1" t="str">
            <v>16_全体</v>
          </cell>
          <cell r="HZ1" t="str">
            <v>17_全体</v>
          </cell>
          <cell r="IA1" t="str">
            <v>18_全体</v>
          </cell>
          <cell r="IB1" t="str">
            <v>19_全体</v>
          </cell>
          <cell r="IC1" t="str">
            <v>20_全体</v>
          </cell>
          <cell r="ID1" t="str">
            <v>21_全体</v>
          </cell>
          <cell r="IE1" t="str">
            <v>22_全体</v>
          </cell>
          <cell r="IF1" t="str">
            <v>23_全体</v>
          </cell>
          <cell r="IG1" t="str">
            <v>24_全体</v>
          </cell>
          <cell r="IH1" t="str">
            <v>25_全体</v>
          </cell>
          <cell r="II1" t="str">
            <v>26_全体</v>
          </cell>
          <cell r="IJ1" t="str">
            <v>27_全体</v>
          </cell>
          <cell r="IK1" t="str">
            <v>28_全体</v>
          </cell>
          <cell r="IL1" t="str">
            <v>29_全体</v>
          </cell>
          <cell r="IM1" t="str">
            <v>30_全体</v>
          </cell>
          <cell r="IN1" t="str">
            <v>31_全体</v>
          </cell>
          <cell r="IO1" t="str">
            <v>32_全体</v>
          </cell>
          <cell r="IP1" t="str">
            <v>33_全体</v>
          </cell>
          <cell r="IQ1" t="str">
            <v>34_全体</v>
          </cell>
          <cell r="IR1" t="str">
            <v>35_全体</v>
          </cell>
          <cell r="IS1" t="str">
            <v>36_全体</v>
          </cell>
          <cell r="IT1" t="str">
            <v>37_全体</v>
          </cell>
          <cell r="IU1" t="str">
            <v>38_全体</v>
          </cell>
          <cell r="IV1" t="str">
            <v>39_全体</v>
          </cell>
          <cell r="IW1" t="str">
            <v>40_全体</v>
          </cell>
          <cell r="IX1" t="str">
            <v>41_全体</v>
          </cell>
          <cell r="IY1" t="str">
            <v>42_全体</v>
          </cell>
          <cell r="IZ1" t="str">
            <v>43_全体</v>
          </cell>
          <cell r="JA1" t="str">
            <v>44_全体</v>
          </cell>
          <cell r="JB1" t="str">
            <v>45_全体</v>
          </cell>
          <cell r="JC1" t="str">
            <v>46_全体</v>
          </cell>
          <cell r="JD1" t="str">
            <v>47_全体</v>
          </cell>
          <cell r="JE1" t="str">
            <v>48_全体</v>
          </cell>
          <cell r="JF1" t="str">
            <v>49_全体</v>
          </cell>
          <cell r="JG1" t="str">
            <v>50_全体</v>
          </cell>
          <cell r="JH1" t="str">
            <v>51_全体</v>
          </cell>
          <cell r="JI1" t="str">
            <v>52_全体</v>
          </cell>
          <cell r="JJ1" t="str">
            <v>53_全体</v>
          </cell>
          <cell r="JK1" t="str">
            <v>54_全体</v>
          </cell>
          <cell r="JL1" t="str">
            <v>55_全体</v>
          </cell>
          <cell r="JM1" t="str">
            <v>56_全体</v>
          </cell>
          <cell r="JN1" t="str">
            <v>57_全体</v>
          </cell>
          <cell r="JO1" t="str">
            <v>58_全体</v>
          </cell>
          <cell r="JP1" t="str">
            <v>59_全体</v>
          </cell>
          <cell r="JQ1" t="str">
            <v>60_全体</v>
          </cell>
          <cell r="JR1" t="str">
            <v>61_全体</v>
          </cell>
          <cell r="JS1" t="str">
            <v>62_全体</v>
          </cell>
          <cell r="JT1" t="str">
            <v>63_全体</v>
          </cell>
          <cell r="JU1" t="str">
            <v>64_全体</v>
          </cell>
          <cell r="JV1" t="str">
            <v>65_全体</v>
          </cell>
          <cell r="JW1" t="str">
            <v>66_全体</v>
          </cell>
          <cell r="JX1" t="str">
            <v>67_全体</v>
          </cell>
          <cell r="JY1" t="str">
            <v>68_全体</v>
          </cell>
          <cell r="JZ1" t="str">
            <v>69_全体</v>
          </cell>
          <cell r="KA1" t="str">
            <v>70_全体</v>
          </cell>
          <cell r="KB1" t="str">
            <v>71_全体</v>
          </cell>
          <cell r="KC1" t="str">
            <v>72_全体</v>
          </cell>
          <cell r="KD1" t="str">
            <v>73_全体</v>
          </cell>
          <cell r="KE1" t="str">
            <v>74_全体</v>
          </cell>
          <cell r="KF1" t="str">
            <v>75_全体</v>
          </cell>
          <cell r="KG1" t="str">
            <v>76_全体</v>
          </cell>
          <cell r="KH1" t="str">
            <v>77_全体</v>
          </cell>
          <cell r="KI1" t="str">
            <v>78_全体</v>
          </cell>
          <cell r="KJ1" t="str">
            <v>79_全体</v>
          </cell>
          <cell r="KK1" t="str">
            <v>80_全体</v>
          </cell>
          <cell r="KL1" t="str">
            <v>81_全体</v>
          </cell>
          <cell r="KM1" t="str">
            <v>82_全体</v>
          </cell>
          <cell r="KN1" t="str">
            <v>83_全体</v>
          </cell>
          <cell r="KO1" t="str">
            <v>84_全体</v>
          </cell>
          <cell r="KP1" t="str">
            <v>85_全体</v>
          </cell>
          <cell r="KQ1" t="str">
            <v>86_全体</v>
          </cell>
          <cell r="KR1" t="str">
            <v>87_全体</v>
          </cell>
          <cell r="KS1" t="str">
            <v>88_全体</v>
          </cell>
          <cell r="KT1" t="str">
            <v>89_全体</v>
          </cell>
          <cell r="KU1" t="str">
            <v>90_全体</v>
          </cell>
          <cell r="KV1" t="str">
            <v>91_全体</v>
          </cell>
          <cell r="KW1" t="str">
            <v>92_全体</v>
          </cell>
          <cell r="KX1" t="str">
            <v>93_全体</v>
          </cell>
          <cell r="KY1" t="str">
            <v>94_全体</v>
          </cell>
          <cell r="KZ1" t="str">
            <v>95_全体</v>
          </cell>
          <cell r="LA1" t="str">
            <v>96_全体</v>
          </cell>
          <cell r="LB1" t="str">
            <v>97_全体</v>
          </cell>
          <cell r="LC1" t="str">
            <v>98_全体</v>
          </cell>
          <cell r="LD1" t="str">
            <v>99_全体</v>
          </cell>
          <cell r="LE1" t="str">
            <v>100_全体</v>
          </cell>
          <cell r="LF1" t="str">
            <v>101_全体</v>
          </cell>
          <cell r="LG1" t="str">
            <v>102_全体</v>
          </cell>
          <cell r="LH1" t="str">
            <v>103_全体</v>
          </cell>
          <cell r="LI1" t="str">
            <v>104_全体</v>
          </cell>
          <cell r="LJ1" t="str">
            <v>105_全体</v>
          </cell>
          <cell r="LK1" t="str">
            <v>106_全体</v>
          </cell>
          <cell r="LL1" t="str">
            <v>年代0-4_男</v>
          </cell>
          <cell r="LM1" t="str">
            <v>年代5-9_男</v>
          </cell>
          <cell r="LN1" t="str">
            <v>年代10-14_男</v>
          </cell>
          <cell r="LO1" t="str">
            <v>年代15-19_男</v>
          </cell>
          <cell r="LP1" t="str">
            <v>年代20-24_男</v>
          </cell>
          <cell r="LQ1" t="str">
            <v>年代25-29_男</v>
          </cell>
          <cell r="LR1" t="str">
            <v>年代30-34_男</v>
          </cell>
          <cell r="LS1" t="str">
            <v>年代35-39_男</v>
          </cell>
          <cell r="LT1" t="str">
            <v>年代40-44_男</v>
          </cell>
          <cell r="LU1" t="str">
            <v>年代45-49_男</v>
          </cell>
          <cell r="LV1" t="str">
            <v>年代50-54_男</v>
          </cell>
          <cell r="LW1" t="str">
            <v>年代55-59_男</v>
          </cell>
          <cell r="LX1" t="str">
            <v>年代60-64_男</v>
          </cell>
          <cell r="LY1" t="str">
            <v>年代65-69_男</v>
          </cell>
          <cell r="LZ1" t="str">
            <v>年代70-74_男</v>
          </cell>
          <cell r="MA1" t="str">
            <v>年代75-79_男</v>
          </cell>
          <cell r="MB1" t="str">
            <v>年代80-84_男</v>
          </cell>
          <cell r="MC1" t="str">
            <v>年代85-89_男</v>
          </cell>
          <cell r="MD1" t="str">
            <v>年代90-94_男</v>
          </cell>
          <cell r="ME1" t="str">
            <v>年代95-99_男</v>
          </cell>
          <cell r="MF1" t="str">
            <v>年代100-104_男</v>
          </cell>
          <cell r="MG1" t="str">
            <v>年代0-4_女</v>
          </cell>
          <cell r="MH1" t="str">
            <v>年代5-9_女</v>
          </cell>
          <cell r="MI1" t="str">
            <v>年代10-14_女</v>
          </cell>
          <cell r="MJ1" t="str">
            <v>年代15-19_女</v>
          </cell>
          <cell r="MK1" t="str">
            <v>年代20-24_女</v>
          </cell>
          <cell r="ML1" t="str">
            <v>年代25-29_女</v>
          </cell>
          <cell r="MM1" t="str">
            <v>年代30-34_女</v>
          </cell>
          <cell r="MN1" t="str">
            <v>年代35-39_女</v>
          </cell>
          <cell r="MO1" t="str">
            <v>年代40-44_女</v>
          </cell>
          <cell r="MP1" t="str">
            <v>年代45-49_女</v>
          </cell>
          <cell r="MQ1" t="str">
            <v>年代50-54_女</v>
          </cell>
          <cell r="MR1" t="str">
            <v>年代55-59_女</v>
          </cell>
          <cell r="MS1" t="str">
            <v>年代60-64_女</v>
          </cell>
          <cell r="MT1" t="str">
            <v>年代65-69_女</v>
          </cell>
          <cell r="MU1" t="str">
            <v>年代70-74_女</v>
          </cell>
          <cell r="MV1" t="str">
            <v>年代75-79_女</v>
          </cell>
          <cell r="MW1" t="str">
            <v>年代80-84_女</v>
          </cell>
          <cell r="MX1" t="str">
            <v>年代85-89_女</v>
          </cell>
          <cell r="MY1" t="str">
            <v>年代90-94_女</v>
          </cell>
          <cell r="MZ1" t="str">
            <v>年代95-99_女</v>
          </cell>
          <cell r="NA1" t="str">
            <v>年代100-104_女</v>
          </cell>
          <cell r="NB1" t="str">
            <v>年代105-109_女</v>
          </cell>
          <cell r="NC1" t="str">
            <v>年代0-4_全体</v>
          </cell>
          <cell r="ND1" t="str">
            <v>年代5-9_全体</v>
          </cell>
          <cell r="NE1" t="str">
            <v>年代10-14_全体</v>
          </cell>
          <cell r="NF1" t="str">
            <v>年代15-19_全体</v>
          </cell>
          <cell r="NG1" t="str">
            <v>年代20-24_全体</v>
          </cell>
          <cell r="NH1" t="str">
            <v>年代25-29_全体</v>
          </cell>
          <cell r="NI1" t="str">
            <v>年代30-34_全体</v>
          </cell>
          <cell r="NJ1" t="str">
            <v>年代35-39_全体</v>
          </cell>
          <cell r="NK1" t="str">
            <v>年代40-44_全体</v>
          </cell>
          <cell r="NL1" t="str">
            <v>年代45-49_全体</v>
          </cell>
          <cell r="NM1" t="str">
            <v>年代50-54_全体</v>
          </cell>
          <cell r="NN1" t="str">
            <v>年代55-59_全体</v>
          </cell>
          <cell r="NO1" t="str">
            <v>年代60-64_全体</v>
          </cell>
          <cell r="NP1" t="str">
            <v>年代65-69_全体</v>
          </cell>
          <cell r="NQ1" t="str">
            <v>年代70-74_全体</v>
          </cell>
          <cell r="NR1" t="str">
            <v>年代75-79_全体</v>
          </cell>
          <cell r="NS1" t="str">
            <v>年代80-84_全体</v>
          </cell>
          <cell r="NT1" t="str">
            <v>年代85-89_全体</v>
          </cell>
          <cell r="NU1" t="str">
            <v>年代90-94_全体</v>
          </cell>
          <cell r="NV1" t="str">
            <v>年代95-99_全体</v>
          </cell>
          <cell r="NW1" t="str">
            <v>年代100-104_全体</v>
          </cell>
          <cell r="NX1" t="str">
            <v>年代105-109_全体</v>
          </cell>
          <cell r="NY1" t="str">
            <v>65以上_男</v>
          </cell>
          <cell r="NZ1" t="str">
            <v>65以上_女</v>
          </cell>
          <cell r="OA1" t="str">
            <v>65以上_全体</v>
          </cell>
          <cell r="OB1" t="str">
            <v>65以上_割合</v>
          </cell>
          <cell r="OC1" t="str">
            <v>合計_男</v>
          </cell>
          <cell r="OD1" t="str">
            <v>合計_女</v>
          </cell>
          <cell r="OE1" t="str">
            <v>合計_総合計</v>
          </cell>
          <cell r="OF1" t="str">
            <v>世帯数</v>
          </cell>
          <cell r="OG1" t="str">
            <v>平均_男</v>
          </cell>
          <cell r="OH1" t="str">
            <v>平均_女</v>
          </cell>
          <cell r="OI1" t="str">
            <v>平均_全体</v>
          </cell>
          <cell r="OJ1" t="str">
            <v>作成日</v>
          </cell>
          <cell r="OK1" t="str">
            <v>集計対象</v>
          </cell>
        </row>
        <row r="2">
          <cell r="A2" t="str">
            <v>大阪府摂津市</v>
          </cell>
          <cell r="B2" t="str">
            <v>全体</v>
          </cell>
          <cell r="C2" t="str">
            <v>平成31年 3月31日</v>
          </cell>
          <cell r="D2">
            <v>408</v>
          </cell>
          <cell r="E2">
            <v>416</v>
          </cell>
          <cell r="F2">
            <v>395</v>
          </cell>
          <cell r="G2">
            <v>414</v>
          </cell>
          <cell r="H2">
            <v>344</v>
          </cell>
          <cell r="I2">
            <v>393</v>
          </cell>
          <cell r="J2">
            <v>358</v>
          </cell>
          <cell r="K2">
            <v>358</v>
          </cell>
          <cell r="L2">
            <v>372</v>
          </cell>
          <cell r="M2">
            <v>396</v>
          </cell>
          <cell r="N2">
            <v>336</v>
          </cell>
          <cell r="O2">
            <v>373</v>
          </cell>
          <cell r="P2">
            <v>409</v>
          </cell>
          <cell r="Q2">
            <v>360</v>
          </cell>
          <cell r="R2">
            <v>415</v>
          </cell>
          <cell r="S2">
            <v>384</v>
          </cell>
          <cell r="T2">
            <v>383</v>
          </cell>
          <cell r="U2">
            <v>430</v>
          </cell>
          <cell r="V2">
            <v>429</v>
          </cell>
          <cell r="W2">
            <v>473</v>
          </cell>
          <cell r="X2">
            <v>457</v>
          </cell>
          <cell r="Y2">
            <v>440</v>
          </cell>
          <cell r="Z2">
            <v>477</v>
          </cell>
          <cell r="AA2">
            <v>490</v>
          </cell>
          <cell r="AB2">
            <v>477</v>
          </cell>
          <cell r="AC2">
            <v>522</v>
          </cell>
          <cell r="AD2">
            <v>508</v>
          </cell>
          <cell r="AE2">
            <v>491</v>
          </cell>
          <cell r="AF2">
            <v>534</v>
          </cell>
          <cell r="AG2">
            <v>505</v>
          </cell>
          <cell r="AH2">
            <v>584</v>
          </cell>
          <cell r="AI2">
            <v>551</v>
          </cell>
          <cell r="AJ2">
            <v>519</v>
          </cell>
          <cell r="AK2">
            <v>550</v>
          </cell>
          <cell r="AL2">
            <v>575</v>
          </cell>
          <cell r="AM2">
            <v>544</v>
          </cell>
          <cell r="AN2">
            <v>591</v>
          </cell>
          <cell r="AO2">
            <v>563</v>
          </cell>
          <cell r="AP2">
            <v>573</v>
          </cell>
          <cell r="AQ2">
            <v>568</v>
          </cell>
          <cell r="AR2">
            <v>582</v>
          </cell>
          <cell r="AS2">
            <v>654</v>
          </cell>
          <cell r="AT2">
            <v>626</v>
          </cell>
          <cell r="AU2">
            <v>736</v>
          </cell>
          <cell r="AV2">
            <v>750</v>
          </cell>
          <cell r="AW2">
            <v>856</v>
          </cell>
          <cell r="AX2">
            <v>856</v>
          </cell>
          <cell r="AY2">
            <v>820</v>
          </cell>
          <cell r="AZ2">
            <v>734</v>
          </cell>
          <cell r="BA2">
            <v>755</v>
          </cell>
          <cell r="BB2">
            <v>672</v>
          </cell>
          <cell r="BC2">
            <v>678</v>
          </cell>
          <cell r="BD2">
            <v>566</v>
          </cell>
          <cell r="BE2">
            <v>567</v>
          </cell>
          <cell r="BF2">
            <v>519</v>
          </cell>
          <cell r="BG2">
            <v>493</v>
          </cell>
          <cell r="BH2">
            <v>483</v>
          </cell>
          <cell r="BI2">
            <v>461</v>
          </cell>
          <cell r="BJ2">
            <v>414</v>
          </cell>
          <cell r="BK2">
            <v>410</v>
          </cell>
          <cell r="BL2">
            <v>447</v>
          </cell>
          <cell r="BM2">
            <v>408</v>
          </cell>
          <cell r="BN2">
            <v>390</v>
          </cell>
          <cell r="BO2">
            <v>430</v>
          </cell>
          <cell r="BP2">
            <v>422</v>
          </cell>
          <cell r="BQ2">
            <v>426</v>
          </cell>
          <cell r="BR2">
            <v>447</v>
          </cell>
          <cell r="BS2">
            <v>508</v>
          </cell>
          <cell r="BT2">
            <v>567</v>
          </cell>
          <cell r="BU2">
            <v>650</v>
          </cell>
          <cell r="BV2">
            <v>646</v>
          </cell>
          <cell r="BW2">
            <v>695</v>
          </cell>
          <cell r="BX2">
            <v>524</v>
          </cell>
          <cell r="BY2">
            <v>349</v>
          </cell>
          <cell r="BZ2">
            <v>474</v>
          </cell>
          <cell r="CA2">
            <v>536</v>
          </cell>
          <cell r="CB2">
            <v>469</v>
          </cell>
          <cell r="CC2">
            <v>537</v>
          </cell>
          <cell r="CD2">
            <v>442</v>
          </cell>
          <cell r="CE2">
            <v>372</v>
          </cell>
          <cell r="CF2">
            <v>324</v>
          </cell>
          <cell r="CG2">
            <v>332</v>
          </cell>
          <cell r="CH2">
            <v>279</v>
          </cell>
          <cell r="CI2">
            <v>257</v>
          </cell>
          <cell r="CJ2">
            <v>199</v>
          </cell>
          <cell r="CK2">
            <v>141</v>
          </cell>
          <cell r="CL2">
            <v>142</v>
          </cell>
          <cell r="CM2">
            <v>108</v>
          </cell>
          <cell r="CN2">
            <v>98</v>
          </cell>
          <cell r="CO2">
            <v>56</v>
          </cell>
          <cell r="CP2">
            <v>57</v>
          </cell>
          <cell r="CQ2">
            <v>42</v>
          </cell>
          <cell r="CR2">
            <v>31</v>
          </cell>
          <cell r="CS2">
            <v>27</v>
          </cell>
          <cell r="CT2">
            <v>12</v>
          </cell>
          <cell r="CU2">
            <v>9</v>
          </cell>
          <cell r="CV2">
            <v>7</v>
          </cell>
          <cell r="CW2">
            <v>6</v>
          </cell>
          <cell r="CX2">
            <v>5</v>
          </cell>
          <cell r="CY2">
            <v>0</v>
          </cell>
          <cell r="CZ2">
            <v>1</v>
          </cell>
          <cell r="DA2">
            <v>0</v>
          </cell>
          <cell r="DB2">
            <v>1</v>
          </cell>
          <cell r="DC2">
            <v>1</v>
          </cell>
          <cell r="DD2">
            <v>0</v>
          </cell>
          <cell r="DE2">
            <v>0</v>
          </cell>
          <cell r="DF2">
            <v>391</v>
          </cell>
          <cell r="DG2">
            <v>375</v>
          </cell>
          <cell r="DH2">
            <v>364</v>
          </cell>
          <cell r="DI2">
            <v>378</v>
          </cell>
          <cell r="DJ2">
            <v>388</v>
          </cell>
          <cell r="DK2">
            <v>347</v>
          </cell>
          <cell r="DL2">
            <v>325</v>
          </cell>
          <cell r="DM2">
            <v>368</v>
          </cell>
          <cell r="DN2">
            <v>361</v>
          </cell>
          <cell r="DO2">
            <v>357</v>
          </cell>
          <cell r="DP2">
            <v>368</v>
          </cell>
          <cell r="DQ2">
            <v>373</v>
          </cell>
          <cell r="DR2">
            <v>344</v>
          </cell>
          <cell r="DS2">
            <v>362</v>
          </cell>
          <cell r="DT2">
            <v>359</v>
          </cell>
          <cell r="DU2">
            <v>377</v>
          </cell>
          <cell r="DV2">
            <v>380</v>
          </cell>
          <cell r="DW2">
            <v>395</v>
          </cell>
          <cell r="DX2">
            <v>383</v>
          </cell>
          <cell r="DY2">
            <v>444</v>
          </cell>
          <cell r="DZ2">
            <v>429</v>
          </cell>
          <cell r="EA2">
            <v>429</v>
          </cell>
          <cell r="EB2">
            <v>472</v>
          </cell>
          <cell r="EC2">
            <v>460</v>
          </cell>
          <cell r="ED2">
            <v>426</v>
          </cell>
          <cell r="EE2">
            <v>422</v>
          </cell>
          <cell r="EF2">
            <v>470</v>
          </cell>
          <cell r="EG2">
            <v>467</v>
          </cell>
          <cell r="EH2">
            <v>552</v>
          </cell>
          <cell r="EI2">
            <v>491</v>
          </cell>
          <cell r="EJ2">
            <v>541</v>
          </cell>
          <cell r="EK2">
            <v>501</v>
          </cell>
          <cell r="EL2">
            <v>517</v>
          </cell>
          <cell r="EM2">
            <v>537</v>
          </cell>
          <cell r="EN2">
            <v>500</v>
          </cell>
          <cell r="EO2">
            <v>552</v>
          </cell>
          <cell r="EP2">
            <v>555</v>
          </cell>
          <cell r="EQ2">
            <v>533</v>
          </cell>
          <cell r="ER2">
            <v>538</v>
          </cell>
          <cell r="ES2">
            <v>551</v>
          </cell>
          <cell r="ET2">
            <v>556</v>
          </cell>
          <cell r="EU2">
            <v>598</v>
          </cell>
          <cell r="EV2">
            <v>577</v>
          </cell>
          <cell r="EW2">
            <v>644</v>
          </cell>
          <cell r="EX2">
            <v>738</v>
          </cell>
          <cell r="EY2">
            <v>744</v>
          </cell>
          <cell r="EZ2">
            <v>765</v>
          </cell>
          <cell r="FA2">
            <v>743</v>
          </cell>
          <cell r="FB2">
            <v>711</v>
          </cell>
          <cell r="FC2">
            <v>635</v>
          </cell>
          <cell r="FD2">
            <v>609</v>
          </cell>
          <cell r="FE2">
            <v>615</v>
          </cell>
          <cell r="FF2">
            <v>457</v>
          </cell>
          <cell r="FG2">
            <v>493</v>
          </cell>
          <cell r="FH2">
            <v>485</v>
          </cell>
          <cell r="FI2">
            <v>478</v>
          </cell>
          <cell r="FJ2">
            <v>442</v>
          </cell>
          <cell r="FK2">
            <v>413</v>
          </cell>
          <cell r="FL2">
            <v>395</v>
          </cell>
          <cell r="FM2">
            <v>415</v>
          </cell>
          <cell r="FN2">
            <v>405</v>
          </cell>
          <cell r="FO2">
            <v>391</v>
          </cell>
          <cell r="FP2">
            <v>410</v>
          </cell>
          <cell r="FQ2">
            <v>426</v>
          </cell>
          <cell r="FR2">
            <v>453</v>
          </cell>
          <cell r="FS2">
            <v>455</v>
          </cell>
          <cell r="FT2">
            <v>511</v>
          </cell>
          <cell r="FU2">
            <v>548</v>
          </cell>
          <cell r="FV2">
            <v>632</v>
          </cell>
          <cell r="FW2">
            <v>722</v>
          </cell>
          <cell r="FX2">
            <v>792</v>
          </cell>
          <cell r="FY2">
            <v>779</v>
          </cell>
          <cell r="FZ2">
            <v>601</v>
          </cell>
          <cell r="GA2">
            <v>448</v>
          </cell>
          <cell r="GB2">
            <v>568</v>
          </cell>
          <cell r="GC2">
            <v>609</v>
          </cell>
          <cell r="GD2">
            <v>645</v>
          </cell>
          <cell r="GE2">
            <v>611</v>
          </cell>
          <cell r="GF2">
            <v>530</v>
          </cell>
          <cell r="GG2">
            <v>440</v>
          </cell>
          <cell r="GH2">
            <v>379</v>
          </cell>
          <cell r="GI2">
            <v>375</v>
          </cell>
          <cell r="GJ2">
            <v>352</v>
          </cell>
          <cell r="GK2">
            <v>319</v>
          </cell>
          <cell r="GL2">
            <v>280</v>
          </cell>
          <cell r="GM2">
            <v>273</v>
          </cell>
          <cell r="GN2">
            <v>229</v>
          </cell>
          <cell r="GO2">
            <v>191</v>
          </cell>
          <cell r="GP2">
            <v>152</v>
          </cell>
          <cell r="GQ2">
            <v>163</v>
          </cell>
          <cell r="GR2">
            <v>142</v>
          </cell>
          <cell r="GS2">
            <v>97</v>
          </cell>
          <cell r="GT2">
            <v>101</v>
          </cell>
          <cell r="GU2">
            <v>74</v>
          </cell>
          <cell r="GV2">
            <v>65</v>
          </cell>
          <cell r="GW2">
            <v>49</v>
          </cell>
          <cell r="GX2">
            <v>32</v>
          </cell>
          <cell r="GY2">
            <v>30</v>
          </cell>
          <cell r="GZ2">
            <v>19</v>
          </cell>
          <cell r="HA2">
            <v>21</v>
          </cell>
          <cell r="HB2">
            <v>4</v>
          </cell>
          <cell r="HC2">
            <v>4</v>
          </cell>
          <cell r="HD2">
            <v>2</v>
          </cell>
          <cell r="HE2">
            <v>4</v>
          </cell>
          <cell r="HF2">
            <v>2</v>
          </cell>
          <cell r="HG2">
            <v>1</v>
          </cell>
          <cell r="HH2">
            <v>1</v>
          </cell>
          <cell r="HI2">
            <v>799</v>
          </cell>
          <cell r="HJ2">
            <v>791</v>
          </cell>
          <cell r="HK2">
            <v>759</v>
          </cell>
          <cell r="HL2">
            <v>792</v>
          </cell>
          <cell r="HM2">
            <v>732</v>
          </cell>
          <cell r="HN2">
            <v>740</v>
          </cell>
          <cell r="HO2">
            <v>683</v>
          </cell>
          <cell r="HP2">
            <v>726</v>
          </cell>
          <cell r="HQ2">
            <v>733</v>
          </cell>
          <cell r="HR2">
            <v>753</v>
          </cell>
          <cell r="HS2">
            <v>704</v>
          </cell>
          <cell r="HT2">
            <v>746</v>
          </cell>
          <cell r="HU2">
            <v>753</v>
          </cell>
          <cell r="HV2">
            <v>722</v>
          </cell>
          <cell r="HW2">
            <v>774</v>
          </cell>
          <cell r="HX2">
            <v>761</v>
          </cell>
          <cell r="HY2">
            <v>763</v>
          </cell>
          <cell r="HZ2">
            <v>825</v>
          </cell>
          <cell r="IA2">
            <v>812</v>
          </cell>
          <cell r="IB2">
            <v>917</v>
          </cell>
          <cell r="IC2">
            <v>886</v>
          </cell>
          <cell r="ID2">
            <v>869</v>
          </cell>
          <cell r="IE2">
            <v>949</v>
          </cell>
          <cell r="IF2">
            <v>950</v>
          </cell>
          <cell r="IG2">
            <v>903</v>
          </cell>
          <cell r="IH2">
            <v>944</v>
          </cell>
          <cell r="II2">
            <v>978</v>
          </cell>
          <cell r="IJ2">
            <v>958</v>
          </cell>
          <cell r="IK2">
            <v>1086</v>
          </cell>
          <cell r="IL2">
            <v>996</v>
          </cell>
          <cell r="IM2">
            <v>1125</v>
          </cell>
          <cell r="IN2">
            <v>1052</v>
          </cell>
          <cell r="IO2">
            <v>1036</v>
          </cell>
          <cell r="IP2">
            <v>1087</v>
          </cell>
          <cell r="IQ2">
            <v>1075</v>
          </cell>
          <cell r="IR2">
            <v>1096</v>
          </cell>
          <cell r="IS2">
            <v>1146</v>
          </cell>
          <cell r="IT2">
            <v>1096</v>
          </cell>
          <cell r="IU2">
            <v>1111</v>
          </cell>
          <cell r="IV2">
            <v>1119</v>
          </cell>
          <cell r="IW2">
            <v>1138</v>
          </cell>
          <cell r="IX2">
            <v>1252</v>
          </cell>
          <cell r="IY2">
            <v>1203</v>
          </cell>
          <cell r="IZ2">
            <v>1380</v>
          </cell>
          <cell r="JA2">
            <v>1488</v>
          </cell>
          <cell r="JB2">
            <v>1600</v>
          </cell>
          <cell r="JC2">
            <v>1621</v>
          </cell>
          <cell r="JD2">
            <v>1563</v>
          </cell>
          <cell r="JE2">
            <v>1445</v>
          </cell>
          <cell r="JF2">
            <v>1390</v>
          </cell>
          <cell r="JG2">
            <v>1281</v>
          </cell>
          <cell r="JH2">
            <v>1293</v>
          </cell>
          <cell r="JI2">
            <v>1023</v>
          </cell>
          <cell r="JJ2">
            <v>1060</v>
          </cell>
          <cell r="JK2">
            <v>1004</v>
          </cell>
          <cell r="JL2">
            <v>971</v>
          </cell>
          <cell r="JM2">
            <v>925</v>
          </cell>
          <cell r="JN2">
            <v>874</v>
          </cell>
          <cell r="JO2">
            <v>809</v>
          </cell>
          <cell r="JP2">
            <v>825</v>
          </cell>
          <cell r="JQ2">
            <v>852</v>
          </cell>
          <cell r="JR2">
            <v>799</v>
          </cell>
          <cell r="JS2">
            <v>800</v>
          </cell>
          <cell r="JT2">
            <v>856</v>
          </cell>
          <cell r="JU2">
            <v>875</v>
          </cell>
          <cell r="JV2">
            <v>881</v>
          </cell>
          <cell r="JW2">
            <v>958</v>
          </cell>
          <cell r="JX2">
            <v>1056</v>
          </cell>
          <cell r="JY2">
            <v>1199</v>
          </cell>
          <cell r="JZ2">
            <v>1372</v>
          </cell>
          <cell r="KA2">
            <v>1438</v>
          </cell>
          <cell r="KB2">
            <v>1474</v>
          </cell>
          <cell r="KC2">
            <v>1125</v>
          </cell>
          <cell r="KD2">
            <v>797</v>
          </cell>
          <cell r="KE2">
            <v>1042</v>
          </cell>
          <cell r="KF2">
            <v>1145</v>
          </cell>
          <cell r="KG2">
            <v>1114</v>
          </cell>
          <cell r="KH2">
            <v>1148</v>
          </cell>
          <cell r="KI2">
            <v>972</v>
          </cell>
          <cell r="KJ2">
            <v>812</v>
          </cell>
          <cell r="KK2">
            <v>703</v>
          </cell>
          <cell r="KL2">
            <v>707</v>
          </cell>
          <cell r="KM2">
            <v>631</v>
          </cell>
          <cell r="KN2">
            <v>576</v>
          </cell>
          <cell r="KO2">
            <v>479</v>
          </cell>
          <cell r="KP2">
            <v>414</v>
          </cell>
          <cell r="KQ2">
            <v>371</v>
          </cell>
          <cell r="KR2">
            <v>299</v>
          </cell>
          <cell r="KS2">
            <v>250</v>
          </cell>
          <cell r="KT2">
            <v>219</v>
          </cell>
          <cell r="KU2">
            <v>199</v>
          </cell>
          <cell r="KV2">
            <v>139</v>
          </cell>
          <cell r="KW2">
            <v>132</v>
          </cell>
          <cell r="KX2">
            <v>101</v>
          </cell>
          <cell r="KY2">
            <v>77</v>
          </cell>
          <cell r="KZ2">
            <v>58</v>
          </cell>
          <cell r="LA2">
            <v>39</v>
          </cell>
          <cell r="LB2">
            <v>36</v>
          </cell>
          <cell r="LC2">
            <v>24</v>
          </cell>
          <cell r="LD2">
            <v>21</v>
          </cell>
          <cell r="LE2">
            <v>5</v>
          </cell>
          <cell r="LF2">
            <v>4</v>
          </cell>
          <cell r="LG2">
            <v>3</v>
          </cell>
          <cell r="LH2">
            <v>5</v>
          </cell>
          <cell r="LI2">
            <v>2</v>
          </cell>
          <cell r="LJ2">
            <v>1</v>
          </cell>
          <cell r="LK2">
            <v>1</v>
          </cell>
          <cell r="LL2">
            <v>1977</v>
          </cell>
          <cell r="LM2">
            <v>1877</v>
          </cell>
          <cell r="LN2">
            <v>1893</v>
          </cell>
          <cell r="LO2">
            <v>2099</v>
          </cell>
          <cell r="LP2">
            <v>2341</v>
          </cell>
          <cell r="LQ2">
            <v>2560</v>
          </cell>
          <cell r="LR2">
            <v>2779</v>
          </cell>
          <cell r="LS2">
            <v>2839</v>
          </cell>
          <cell r="LT2">
            <v>3348</v>
          </cell>
          <cell r="LU2">
            <v>4021</v>
          </cell>
          <cell r="LV2">
            <v>3002</v>
          </cell>
          <cell r="LW2">
            <v>2261</v>
          </cell>
          <cell r="LX2">
            <v>2097</v>
          </cell>
          <cell r="LY2">
            <v>2598</v>
          </cell>
          <cell r="LZ2">
            <v>2688</v>
          </cell>
          <cell r="MA2">
            <v>2356</v>
          </cell>
          <cell r="MB2">
            <v>1391</v>
          </cell>
          <cell r="MC2">
            <v>545</v>
          </cell>
          <cell r="MD2">
            <v>169</v>
          </cell>
          <cell r="ME2">
            <v>27</v>
          </cell>
          <cell r="MF2">
            <v>3</v>
          </cell>
          <cell r="MG2">
            <v>1896</v>
          </cell>
          <cell r="MH2">
            <v>1758</v>
          </cell>
          <cell r="MI2">
            <v>1806</v>
          </cell>
          <cell r="MJ2">
            <v>1979</v>
          </cell>
          <cell r="MK2">
            <v>2216</v>
          </cell>
          <cell r="ML2">
            <v>2402</v>
          </cell>
          <cell r="MM2">
            <v>2596</v>
          </cell>
          <cell r="MN2">
            <v>2729</v>
          </cell>
          <cell r="MO2">
            <v>3113</v>
          </cell>
          <cell r="MP2">
            <v>3598</v>
          </cell>
          <cell r="MQ2">
            <v>2659</v>
          </cell>
          <cell r="MR2">
            <v>2143</v>
          </cell>
          <cell r="MS2">
            <v>2085</v>
          </cell>
          <cell r="MT2">
            <v>2868</v>
          </cell>
          <cell r="MU2">
            <v>3188</v>
          </cell>
          <cell r="MV2">
            <v>2835</v>
          </cell>
          <cell r="MW2">
            <v>1705</v>
          </cell>
          <cell r="MX2">
            <v>1008</v>
          </cell>
          <cell r="MY2">
            <v>479</v>
          </cell>
          <cell r="MZ2">
            <v>151</v>
          </cell>
          <cell r="NA2">
            <v>16</v>
          </cell>
          <cell r="NB2">
            <v>2</v>
          </cell>
          <cell r="NC2">
            <v>3873</v>
          </cell>
          <cell r="ND2">
            <v>3635</v>
          </cell>
          <cell r="NE2">
            <v>3699</v>
          </cell>
          <cell r="NF2">
            <v>4078</v>
          </cell>
          <cell r="NG2">
            <v>4557</v>
          </cell>
          <cell r="NH2">
            <v>4962</v>
          </cell>
          <cell r="NI2">
            <v>5375</v>
          </cell>
          <cell r="NJ2">
            <v>5568</v>
          </cell>
          <cell r="NK2">
            <v>6461</v>
          </cell>
          <cell r="NL2">
            <v>7619</v>
          </cell>
          <cell r="NM2">
            <v>5661</v>
          </cell>
          <cell r="NN2">
            <v>4404</v>
          </cell>
          <cell r="NO2">
            <v>4182</v>
          </cell>
          <cell r="NP2">
            <v>5466</v>
          </cell>
          <cell r="NQ2">
            <v>5876</v>
          </cell>
          <cell r="NR2">
            <v>5191</v>
          </cell>
          <cell r="NS2">
            <v>3096</v>
          </cell>
          <cell r="NT2">
            <v>1553</v>
          </cell>
          <cell r="NU2">
            <v>648</v>
          </cell>
          <cell r="NV2">
            <v>178</v>
          </cell>
          <cell r="NW2">
            <v>19</v>
          </cell>
          <cell r="NX2">
            <v>2</v>
          </cell>
          <cell r="NY2">
            <v>9777</v>
          </cell>
          <cell r="NZ2">
            <v>12252</v>
          </cell>
          <cell r="OA2">
            <v>22029</v>
          </cell>
          <cell r="OB2">
            <v>25.6</v>
          </cell>
          <cell r="OC2">
            <v>42871</v>
          </cell>
          <cell r="OD2">
            <v>43232</v>
          </cell>
          <cell r="OE2">
            <v>86103</v>
          </cell>
          <cell r="OF2">
            <v>40853</v>
          </cell>
          <cell r="OG2">
            <v>43</v>
          </cell>
          <cell r="OH2">
            <v>46</v>
          </cell>
          <cell r="OI2">
            <v>45</v>
          </cell>
          <cell r="OJ2" t="str">
            <v>平成31年 4月 2日</v>
          </cell>
          <cell r="OK2" t="str">
            <v>※外国人を含めた集計です。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操作方法"/>
      <sheetName val="データ貼り付けシート"/>
      <sheetName val="印刷用シート"/>
      <sheetName val="ホームページ用シート"/>
    </sheetNames>
    <sheetDataSet>
      <sheetData sheetId="0"/>
      <sheetData sheetId="1">
        <row r="1">
          <cell r="A1" t="str">
            <v>自治体名</v>
          </cell>
          <cell r="B1" t="str">
            <v>集計区分</v>
          </cell>
          <cell r="C1" t="str">
            <v>基準日</v>
          </cell>
          <cell r="D1" t="str">
            <v>0_男</v>
          </cell>
          <cell r="E1" t="str">
            <v>1_男</v>
          </cell>
          <cell r="F1" t="str">
            <v>2_男</v>
          </cell>
          <cell r="G1" t="str">
            <v>3_男</v>
          </cell>
          <cell r="H1" t="str">
            <v>4_男</v>
          </cell>
          <cell r="I1" t="str">
            <v>5_男</v>
          </cell>
          <cell r="J1" t="str">
            <v>6_男</v>
          </cell>
          <cell r="K1" t="str">
            <v>7_男</v>
          </cell>
          <cell r="L1" t="str">
            <v>8_男</v>
          </cell>
          <cell r="M1" t="str">
            <v>9_男</v>
          </cell>
          <cell r="N1" t="str">
            <v>10_男</v>
          </cell>
          <cell r="O1" t="str">
            <v>11_男</v>
          </cell>
          <cell r="P1" t="str">
            <v>12_男</v>
          </cell>
          <cell r="Q1" t="str">
            <v>13_男</v>
          </cell>
          <cell r="R1" t="str">
            <v>14_男</v>
          </cell>
          <cell r="S1" t="str">
            <v>15_男</v>
          </cell>
          <cell r="T1" t="str">
            <v>16_男</v>
          </cell>
          <cell r="U1" t="str">
            <v>17_男</v>
          </cell>
          <cell r="V1" t="str">
            <v>18_男</v>
          </cell>
          <cell r="W1" t="str">
            <v>19_男</v>
          </cell>
          <cell r="X1" t="str">
            <v>20_男</v>
          </cell>
          <cell r="Y1" t="str">
            <v>21_男</v>
          </cell>
          <cell r="Z1" t="str">
            <v>22_男</v>
          </cell>
          <cell r="AA1" t="str">
            <v>23_男</v>
          </cell>
          <cell r="AB1" t="str">
            <v>24_男</v>
          </cell>
          <cell r="AC1" t="str">
            <v>25_男</v>
          </cell>
          <cell r="AD1" t="str">
            <v>26_男</v>
          </cell>
          <cell r="AE1" t="str">
            <v>27_男</v>
          </cell>
          <cell r="AF1" t="str">
            <v>28_男</v>
          </cell>
          <cell r="AG1" t="str">
            <v>29_男</v>
          </cell>
          <cell r="AH1" t="str">
            <v>30_男</v>
          </cell>
          <cell r="AI1" t="str">
            <v>31_男</v>
          </cell>
          <cell r="AJ1" t="str">
            <v>32_男</v>
          </cell>
          <cell r="AK1" t="str">
            <v>33_男</v>
          </cell>
          <cell r="AL1" t="str">
            <v>34_男</v>
          </cell>
          <cell r="AM1" t="str">
            <v>35_男</v>
          </cell>
          <cell r="AN1" t="str">
            <v>36_男</v>
          </cell>
          <cell r="AO1" t="str">
            <v>37_男</v>
          </cell>
          <cell r="AP1" t="str">
            <v>38_男</v>
          </cell>
          <cell r="AQ1" t="str">
            <v>39_男</v>
          </cell>
          <cell r="AR1" t="str">
            <v>40_男</v>
          </cell>
          <cell r="AS1" t="str">
            <v>41_男</v>
          </cell>
          <cell r="AT1" t="str">
            <v>42_男</v>
          </cell>
          <cell r="AU1" t="str">
            <v>43_男</v>
          </cell>
          <cell r="AV1" t="str">
            <v>44_男</v>
          </cell>
          <cell r="AW1" t="str">
            <v>45_男</v>
          </cell>
          <cell r="AX1" t="str">
            <v>46_男</v>
          </cell>
          <cell r="AY1" t="str">
            <v>47_男</v>
          </cell>
          <cell r="AZ1" t="str">
            <v>48_男</v>
          </cell>
          <cell r="BA1" t="str">
            <v>49_男</v>
          </cell>
          <cell r="BB1" t="str">
            <v>50_男</v>
          </cell>
          <cell r="BC1" t="str">
            <v>51_男</v>
          </cell>
          <cell r="BD1" t="str">
            <v>52_男</v>
          </cell>
          <cell r="BE1" t="str">
            <v>53_男</v>
          </cell>
          <cell r="BF1" t="str">
            <v>54_男</v>
          </cell>
          <cell r="BG1" t="str">
            <v>55_男</v>
          </cell>
          <cell r="BH1" t="str">
            <v>56_男</v>
          </cell>
          <cell r="BI1" t="str">
            <v>57_男</v>
          </cell>
          <cell r="BJ1" t="str">
            <v>58_男</v>
          </cell>
          <cell r="BK1" t="str">
            <v>59_男</v>
          </cell>
          <cell r="BL1" t="str">
            <v>60_男</v>
          </cell>
          <cell r="BM1" t="str">
            <v>61_男</v>
          </cell>
          <cell r="BN1" t="str">
            <v>62_男</v>
          </cell>
          <cell r="BO1" t="str">
            <v>63_男</v>
          </cell>
          <cell r="BP1" t="str">
            <v>64_男</v>
          </cell>
          <cell r="BQ1" t="str">
            <v>65_男</v>
          </cell>
          <cell r="BR1" t="str">
            <v>66_男</v>
          </cell>
          <cell r="BS1" t="str">
            <v>67_男</v>
          </cell>
          <cell r="BT1" t="str">
            <v>68_男</v>
          </cell>
          <cell r="BU1" t="str">
            <v>69_男</v>
          </cell>
          <cell r="BV1" t="str">
            <v>70_男</v>
          </cell>
          <cell r="BW1" t="str">
            <v>71_男</v>
          </cell>
          <cell r="BX1" t="str">
            <v>72_男</v>
          </cell>
          <cell r="BY1" t="str">
            <v>73_男</v>
          </cell>
          <cell r="BZ1" t="str">
            <v>74_男</v>
          </cell>
          <cell r="CA1" t="str">
            <v>75_男</v>
          </cell>
          <cell r="CB1" t="str">
            <v>76_男</v>
          </cell>
          <cell r="CC1" t="str">
            <v>77_男</v>
          </cell>
          <cell r="CD1" t="str">
            <v>78_男</v>
          </cell>
          <cell r="CE1" t="str">
            <v>79_男</v>
          </cell>
          <cell r="CF1" t="str">
            <v>80_男</v>
          </cell>
          <cell r="CG1" t="str">
            <v>81_男</v>
          </cell>
          <cell r="CH1" t="str">
            <v>82_男</v>
          </cell>
          <cell r="CI1" t="str">
            <v>83_男</v>
          </cell>
          <cell r="CJ1" t="str">
            <v>84_男</v>
          </cell>
          <cell r="CK1" t="str">
            <v>85_男</v>
          </cell>
          <cell r="CL1" t="str">
            <v>86_男</v>
          </cell>
          <cell r="CM1" t="str">
            <v>87_男</v>
          </cell>
          <cell r="CN1" t="str">
            <v>88_男</v>
          </cell>
          <cell r="CO1" t="str">
            <v>89_男</v>
          </cell>
          <cell r="CP1" t="str">
            <v>90_男</v>
          </cell>
          <cell r="CQ1" t="str">
            <v>91_男</v>
          </cell>
          <cell r="CR1" t="str">
            <v>92_男</v>
          </cell>
          <cell r="CS1" t="str">
            <v>93_男</v>
          </cell>
          <cell r="CT1" t="str">
            <v>94_男</v>
          </cell>
          <cell r="CU1" t="str">
            <v>95_男</v>
          </cell>
          <cell r="CV1" t="str">
            <v>96_男</v>
          </cell>
          <cell r="CW1" t="str">
            <v>97_男</v>
          </cell>
          <cell r="CX1" t="str">
            <v>98_男</v>
          </cell>
          <cell r="CY1" t="str">
            <v>99_男</v>
          </cell>
          <cell r="CZ1" t="str">
            <v>100_男</v>
          </cell>
          <cell r="DA1" t="str">
            <v>101_男</v>
          </cell>
          <cell r="DB1" t="str">
            <v>102_男</v>
          </cell>
          <cell r="DC1" t="str">
            <v>103_男</v>
          </cell>
          <cell r="DD1" t="str">
            <v>104_男</v>
          </cell>
          <cell r="DE1" t="str">
            <v>105以上_男</v>
          </cell>
          <cell r="DF1" t="str">
            <v>0_女</v>
          </cell>
          <cell r="DG1" t="str">
            <v>1_女</v>
          </cell>
          <cell r="DH1" t="str">
            <v>2_女</v>
          </cell>
          <cell r="DI1" t="str">
            <v>3_女</v>
          </cell>
          <cell r="DJ1" t="str">
            <v>4_女</v>
          </cell>
          <cell r="DK1" t="str">
            <v>5_女</v>
          </cell>
          <cell r="DL1" t="str">
            <v>6_女</v>
          </cell>
          <cell r="DM1" t="str">
            <v>7_女</v>
          </cell>
          <cell r="DN1" t="str">
            <v>8_女</v>
          </cell>
          <cell r="DO1" t="str">
            <v>9_女</v>
          </cell>
          <cell r="DP1" t="str">
            <v>10_女</v>
          </cell>
          <cell r="DQ1" t="str">
            <v>11_女</v>
          </cell>
          <cell r="DR1" t="str">
            <v>12_女</v>
          </cell>
          <cell r="DS1" t="str">
            <v>13_女</v>
          </cell>
          <cell r="DT1" t="str">
            <v>14_女</v>
          </cell>
          <cell r="DU1" t="str">
            <v>15_女</v>
          </cell>
          <cell r="DV1" t="str">
            <v>16_女</v>
          </cell>
          <cell r="DW1" t="str">
            <v>17_女</v>
          </cell>
          <cell r="DX1" t="str">
            <v>18_女</v>
          </cell>
          <cell r="DY1" t="str">
            <v>19_女</v>
          </cell>
          <cell r="DZ1" t="str">
            <v>20_女</v>
          </cell>
          <cell r="EA1" t="str">
            <v>21_女</v>
          </cell>
          <cell r="EB1" t="str">
            <v>22_女</v>
          </cell>
          <cell r="EC1" t="str">
            <v>23_女</v>
          </cell>
          <cell r="ED1" t="str">
            <v>24_女</v>
          </cell>
          <cell r="EE1" t="str">
            <v>25_女</v>
          </cell>
          <cell r="EF1" t="str">
            <v>26_女</v>
          </cell>
          <cell r="EG1" t="str">
            <v>27_女</v>
          </cell>
          <cell r="EH1" t="str">
            <v>28_女</v>
          </cell>
          <cell r="EI1" t="str">
            <v>29_女</v>
          </cell>
          <cell r="EJ1" t="str">
            <v>30_女</v>
          </cell>
          <cell r="EK1" t="str">
            <v>31_女</v>
          </cell>
          <cell r="EL1" t="str">
            <v>32_女</v>
          </cell>
          <cell r="EM1" t="str">
            <v>33_女</v>
          </cell>
          <cell r="EN1" t="str">
            <v>34_女</v>
          </cell>
          <cell r="EO1" t="str">
            <v>35_女</v>
          </cell>
          <cell r="EP1" t="str">
            <v>36_女</v>
          </cell>
          <cell r="EQ1" t="str">
            <v>37_女</v>
          </cell>
          <cell r="ER1" t="str">
            <v>38_女</v>
          </cell>
          <cell r="ES1" t="str">
            <v>39_女</v>
          </cell>
          <cell r="ET1" t="str">
            <v>40_女</v>
          </cell>
          <cell r="EU1" t="str">
            <v>41_女</v>
          </cell>
          <cell r="EV1" t="str">
            <v>42_女</v>
          </cell>
          <cell r="EW1" t="str">
            <v>43_女</v>
          </cell>
          <cell r="EX1" t="str">
            <v>44_女</v>
          </cell>
          <cell r="EY1" t="str">
            <v>45_女</v>
          </cell>
          <cell r="EZ1" t="str">
            <v>46_女</v>
          </cell>
          <cell r="FA1" t="str">
            <v>47_女</v>
          </cell>
          <cell r="FB1" t="str">
            <v>48_女</v>
          </cell>
          <cell r="FC1" t="str">
            <v>49_女</v>
          </cell>
          <cell r="FD1" t="str">
            <v>50_女</v>
          </cell>
          <cell r="FE1" t="str">
            <v>51_女</v>
          </cell>
          <cell r="FF1" t="str">
            <v>52_女</v>
          </cell>
          <cell r="FG1" t="str">
            <v>53_女</v>
          </cell>
          <cell r="FH1" t="str">
            <v>54_女</v>
          </cell>
          <cell r="FI1" t="str">
            <v>55_女</v>
          </cell>
          <cell r="FJ1" t="str">
            <v>56_女</v>
          </cell>
          <cell r="FK1" t="str">
            <v>57_女</v>
          </cell>
          <cell r="FL1" t="str">
            <v>58_女</v>
          </cell>
          <cell r="FM1" t="str">
            <v>59_女</v>
          </cell>
          <cell r="FN1" t="str">
            <v>60_女</v>
          </cell>
          <cell r="FO1" t="str">
            <v>61_女</v>
          </cell>
          <cell r="FP1" t="str">
            <v>62_女</v>
          </cell>
          <cell r="FQ1" t="str">
            <v>63_女</v>
          </cell>
          <cell r="FR1" t="str">
            <v>64_女</v>
          </cell>
          <cell r="FS1" t="str">
            <v>65_女</v>
          </cell>
          <cell r="FT1" t="str">
            <v>66_女</v>
          </cell>
          <cell r="FU1" t="str">
            <v>67_女</v>
          </cell>
          <cell r="FV1" t="str">
            <v>68_女</v>
          </cell>
          <cell r="FW1" t="str">
            <v>69_女</v>
          </cell>
          <cell r="FX1" t="str">
            <v>70_女</v>
          </cell>
          <cell r="FY1" t="str">
            <v>71_女</v>
          </cell>
          <cell r="FZ1" t="str">
            <v>72_女</v>
          </cell>
          <cell r="GA1" t="str">
            <v>73_女</v>
          </cell>
          <cell r="GB1" t="str">
            <v>74_女</v>
          </cell>
          <cell r="GC1" t="str">
            <v>75_女</v>
          </cell>
          <cell r="GD1" t="str">
            <v>76_女</v>
          </cell>
          <cell r="GE1" t="str">
            <v>77_女</v>
          </cell>
          <cell r="GF1" t="str">
            <v>78_女</v>
          </cell>
          <cell r="GG1" t="str">
            <v>79_女</v>
          </cell>
          <cell r="GH1" t="str">
            <v>80_女</v>
          </cell>
          <cell r="GI1" t="str">
            <v>81_女</v>
          </cell>
          <cell r="GJ1" t="str">
            <v>82_女</v>
          </cell>
          <cell r="GK1" t="str">
            <v>83_女</v>
          </cell>
          <cell r="GL1" t="str">
            <v>84_女</v>
          </cell>
          <cell r="GM1" t="str">
            <v>85_女</v>
          </cell>
          <cell r="GN1" t="str">
            <v>86_女</v>
          </cell>
          <cell r="GO1" t="str">
            <v>87_女</v>
          </cell>
          <cell r="GP1" t="str">
            <v>88_女</v>
          </cell>
          <cell r="GQ1" t="str">
            <v>89_女</v>
          </cell>
          <cell r="GR1" t="str">
            <v>90_女</v>
          </cell>
          <cell r="GS1" t="str">
            <v>91_女</v>
          </cell>
          <cell r="GT1" t="str">
            <v>92_女</v>
          </cell>
          <cell r="GU1" t="str">
            <v>93_女</v>
          </cell>
          <cell r="GV1" t="str">
            <v>94_女</v>
          </cell>
          <cell r="GW1" t="str">
            <v>95_女</v>
          </cell>
          <cell r="GX1" t="str">
            <v>96_女</v>
          </cell>
          <cell r="GY1" t="str">
            <v>97_女</v>
          </cell>
          <cell r="GZ1" t="str">
            <v>98_女</v>
          </cell>
          <cell r="HA1" t="str">
            <v>99_女</v>
          </cell>
          <cell r="HB1" t="str">
            <v>100_女</v>
          </cell>
          <cell r="HC1" t="str">
            <v>101_女</v>
          </cell>
          <cell r="HD1" t="str">
            <v>102_女</v>
          </cell>
          <cell r="HE1" t="str">
            <v>103_女</v>
          </cell>
          <cell r="HF1" t="str">
            <v>104_女</v>
          </cell>
          <cell r="HG1" t="str">
            <v>105_女</v>
          </cell>
          <cell r="HH1" t="str">
            <v>106_女</v>
          </cell>
          <cell r="HI1" t="str">
            <v>0_全体</v>
          </cell>
          <cell r="HJ1" t="str">
            <v>1_全体</v>
          </cell>
          <cell r="HK1" t="str">
            <v>2_全体</v>
          </cell>
          <cell r="HL1" t="str">
            <v>3_全体</v>
          </cell>
          <cell r="HM1" t="str">
            <v>4_全体</v>
          </cell>
          <cell r="HN1" t="str">
            <v>5_全体</v>
          </cell>
          <cell r="HO1" t="str">
            <v>6_全体</v>
          </cell>
          <cell r="HP1" t="str">
            <v>7_全体</v>
          </cell>
          <cell r="HQ1" t="str">
            <v>8_全体</v>
          </cell>
          <cell r="HR1" t="str">
            <v>9_全体</v>
          </cell>
          <cell r="HS1" t="str">
            <v>10_全体</v>
          </cell>
          <cell r="HT1" t="str">
            <v>11_全体</v>
          </cell>
          <cell r="HU1" t="str">
            <v>12_全体</v>
          </cell>
          <cell r="HV1" t="str">
            <v>13_全体</v>
          </cell>
          <cell r="HW1" t="str">
            <v>14_全体</v>
          </cell>
          <cell r="HX1" t="str">
            <v>15_全体</v>
          </cell>
          <cell r="HY1" t="str">
            <v>16_全体</v>
          </cell>
          <cell r="HZ1" t="str">
            <v>17_全体</v>
          </cell>
          <cell r="IA1" t="str">
            <v>18_全体</v>
          </cell>
          <cell r="IB1" t="str">
            <v>19_全体</v>
          </cell>
          <cell r="IC1" t="str">
            <v>20_全体</v>
          </cell>
          <cell r="ID1" t="str">
            <v>21_全体</v>
          </cell>
          <cell r="IE1" t="str">
            <v>22_全体</v>
          </cell>
          <cell r="IF1" t="str">
            <v>23_全体</v>
          </cell>
          <cell r="IG1" t="str">
            <v>24_全体</v>
          </cell>
          <cell r="IH1" t="str">
            <v>25_全体</v>
          </cell>
          <cell r="II1" t="str">
            <v>26_全体</v>
          </cell>
          <cell r="IJ1" t="str">
            <v>27_全体</v>
          </cell>
          <cell r="IK1" t="str">
            <v>28_全体</v>
          </cell>
          <cell r="IL1" t="str">
            <v>29_全体</v>
          </cell>
          <cell r="IM1" t="str">
            <v>30_全体</v>
          </cell>
          <cell r="IN1" t="str">
            <v>31_全体</v>
          </cell>
          <cell r="IO1" t="str">
            <v>32_全体</v>
          </cell>
          <cell r="IP1" t="str">
            <v>33_全体</v>
          </cell>
          <cell r="IQ1" t="str">
            <v>34_全体</v>
          </cell>
          <cell r="IR1" t="str">
            <v>35_全体</v>
          </cell>
          <cell r="IS1" t="str">
            <v>36_全体</v>
          </cell>
          <cell r="IT1" t="str">
            <v>37_全体</v>
          </cell>
          <cell r="IU1" t="str">
            <v>38_全体</v>
          </cell>
          <cell r="IV1" t="str">
            <v>39_全体</v>
          </cell>
          <cell r="IW1" t="str">
            <v>40_全体</v>
          </cell>
          <cell r="IX1" t="str">
            <v>41_全体</v>
          </cell>
          <cell r="IY1" t="str">
            <v>42_全体</v>
          </cell>
          <cell r="IZ1" t="str">
            <v>43_全体</v>
          </cell>
          <cell r="JA1" t="str">
            <v>44_全体</v>
          </cell>
          <cell r="JB1" t="str">
            <v>45_全体</v>
          </cell>
          <cell r="JC1" t="str">
            <v>46_全体</v>
          </cell>
          <cell r="JD1" t="str">
            <v>47_全体</v>
          </cell>
          <cell r="JE1" t="str">
            <v>48_全体</v>
          </cell>
          <cell r="JF1" t="str">
            <v>49_全体</v>
          </cell>
          <cell r="JG1" t="str">
            <v>50_全体</v>
          </cell>
          <cell r="JH1" t="str">
            <v>51_全体</v>
          </cell>
          <cell r="JI1" t="str">
            <v>52_全体</v>
          </cell>
          <cell r="JJ1" t="str">
            <v>53_全体</v>
          </cell>
          <cell r="JK1" t="str">
            <v>54_全体</v>
          </cell>
          <cell r="JL1" t="str">
            <v>55_全体</v>
          </cell>
          <cell r="JM1" t="str">
            <v>56_全体</v>
          </cell>
          <cell r="JN1" t="str">
            <v>57_全体</v>
          </cell>
          <cell r="JO1" t="str">
            <v>58_全体</v>
          </cell>
          <cell r="JP1" t="str">
            <v>59_全体</v>
          </cell>
          <cell r="JQ1" t="str">
            <v>60_全体</v>
          </cell>
          <cell r="JR1" t="str">
            <v>61_全体</v>
          </cell>
          <cell r="JS1" t="str">
            <v>62_全体</v>
          </cell>
          <cell r="JT1" t="str">
            <v>63_全体</v>
          </cell>
          <cell r="JU1" t="str">
            <v>64_全体</v>
          </cell>
          <cell r="JV1" t="str">
            <v>65_全体</v>
          </cell>
          <cell r="JW1" t="str">
            <v>66_全体</v>
          </cell>
          <cell r="JX1" t="str">
            <v>67_全体</v>
          </cell>
          <cell r="JY1" t="str">
            <v>68_全体</v>
          </cell>
          <cell r="JZ1" t="str">
            <v>69_全体</v>
          </cell>
          <cell r="KA1" t="str">
            <v>70_全体</v>
          </cell>
          <cell r="KB1" t="str">
            <v>71_全体</v>
          </cell>
          <cell r="KC1" t="str">
            <v>72_全体</v>
          </cell>
          <cell r="KD1" t="str">
            <v>73_全体</v>
          </cell>
          <cell r="KE1" t="str">
            <v>74_全体</v>
          </cell>
          <cell r="KF1" t="str">
            <v>75_全体</v>
          </cell>
          <cell r="KG1" t="str">
            <v>76_全体</v>
          </cell>
          <cell r="KH1" t="str">
            <v>77_全体</v>
          </cell>
          <cell r="KI1" t="str">
            <v>78_全体</v>
          </cell>
          <cell r="KJ1" t="str">
            <v>79_全体</v>
          </cell>
          <cell r="KK1" t="str">
            <v>80_全体</v>
          </cell>
          <cell r="KL1" t="str">
            <v>81_全体</v>
          </cell>
          <cell r="KM1" t="str">
            <v>82_全体</v>
          </cell>
          <cell r="KN1" t="str">
            <v>83_全体</v>
          </cell>
          <cell r="KO1" t="str">
            <v>84_全体</v>
          </cell>
          <cell r="KP1" t="str">
            <v>85_全体</v>
          </cell>
          <cell r="KQ1" t="str">
            <v>86_全体</v>
          </cell>
          <cell r="KR1" t="str">
            <v>87_全体</v>
          </cell>
          <cell r="KS1" t="str">
            <v>88_全体</v>
          </cell>
          <cell r="KT1" t="str">
            <v>89_全体</v>
          </cell>
          <cell r="KU1" t="str">
            <v>90_全体</v>
          </cell>
          <cell r="KV1" t="str">
            <v>91_全体</v>
          </cell>
          <cell r="KW1" t="str">
            <v>92_全体</v>
          </cell>
          <cell r="KX1" t="str">
            <v>93_全体</v>
          </cell>
          <cell r="KY1" t="str">
            <v>94_全体</v>
          </cell>
          <cell r="KZ1" t="str">
            <v>95_全体</v>
          </cell>
          <cell r="LA1" t="str">
            <v>96_全体</v>
          </cell>
          <cell r="LB1" t="str">
            <v>97_全体</v>
          </cell>
          <cell r="LC1" t="str">
            <v>98_全体</v>
          </cell>
          <cell r="LD1" t="str">
            <v>99_全体</v>
          </cell>
          <cell r="LE1" t="str">
            <v>100_全体</v>
          </cell>
          <cell r="LF1" t="str">
            <v>101_全体</v>
          </cell>
          <cell r="LG1" t="str">
            <v>102_全体</v>
          </cell>
          <cell r="LH1" t="str">
            <v>103_全体</v>
          </cell>
          <cell r="LI1" t="str">
            <v>104_全体</v>
          </cell>
          <cell r="LJ1" t="str">
            <v>105以上_全体</v>
          </cell>
          <cell r="LK1" t="str">
            <v>106_全体</v>
          </cell>
          <cell r="LL1" t="str">
            <v>年代0-4_男</v>
          </cell>
          <cell r="LM1" t="str">
            <v>年代5-9_男</v>
          </cell>
          <cell r="LN1" t="str">
            <v>年代10-14_男</v>
          </cell>
          <cell r="LO1" t="str">
            <v>年代15-19_男</v>
          </cell>
          <cell r="LP1" t="str">
            <v>年代20-24_男</v>
          </cell>
          <cell r="LQ1" t="str">
            <v>年代25-29_男</v>
          </cell>
          <cell r="LR1" t="str">
            <v>年代30-34_男</v>
          </cell>
          <cell r="LS1" t="str">
            <v>年代35-39_男</v>
          </cell>
          <cell r="LT1" t="str">
            <v>年代40-44_男</v>
          </cell>
          <cell r="LU1" t="str">
            <v>年代45-49_男</v>
          </cell>
          <cell r="LV1" t="str">
            <v>年代50-54_男</v>
          </cell>
          <cell r="LW1" t="str">
            <v>年代55-59_男</v>
          </cell>
          <cell r="LX1" t="str">
            <v>年代60-64_男</v>
          </cell>
          <cell r="LY1" t="str">
            <v>年代65-69_男</v>
          </cell>
          <cell r="LZ1" t="str">
            <v>年代70-74_男</v>
          </cell>
          <cell r="MA1" t="str">
            <v>年代75-79_男</v>
          </cell>
          <cell r="MB1" t="str">
            <v>年代80-84_男</v>
          </cell>
          <cell r="MC1" t="str">
            <v>年代85-89_男</v>
          </cell>
          <cell r="MD1" t="str">
            <v>年代90-94_男</v>
          </cell>
          <cell r="ME1" t="str">
            <v>年代95-99_男</v>
          </cell>
          <cell r="MF1" t="str">
            <v>年代100-104_男</v>
          </cell>
          <cell r="MG1" t="str">
            <v>年代0-4_女</v>
          </cell>
          <cell r="MH1" t="str">
            <v>年代5-9_女</v>
          </cell>
          <cell r="MI1" t="str">
            <v>年代10-14_女</v>
          </cell>
          <cell r="MJ1" t="str">
            <v>年代15-19_女</v>
          </cell>
          <cell r="MK1" t="str">
            <v>年代20-24_女</v>
          </cell>
          <cell r="ML1" t="str">
            <v>年代25-29_女</v>
          </cell>
          <cell r="MM1" t="str">
            <v>年代30-34_女</v>
          </cell>
          <cell r="MN1" t="str">
            <v>年代35-39_女</v>
          </cell>
          <cell r="MO1" t="str">
            <v>年代40-44_女</v>
          </cell>
          <cell r="MP1" t="str">
            <v>年代45-49_女</v>
          </cell>
          <cell r="MQ1" t="str">
            <v>年代50-54_女</v>
          </cell>
          <cell r="MR1" t="str">
            <v>年代55-59_女</v>
          </cell>
          <cell r="MS1" t="str">
            <v>年代60-64_女</v>
          </cell>
          <cell r="MT1" t="str">
            <v>年代65-69_女</v>
          </cell>
          <cell r="MU1" t="str">
            <v>年代70-74_女</v>
          </cell>
          <cell r="MV1" t="str">
            <v>年代75-79_女</v>
          </cell>
          <cell r="MW1" t="str">
            <v>年代80-84_女</v>
          </cell>
          <cell r="MX1" t="str">
            <v>年代85-89_女</v>
          </cell>
          <cell r="MY1" t="str">
            <v>年代90-94_女</v>
          </cell>
          <cell r="MZ1" t="str">
            <v>年代95-99_女</v>
          </cell>
          <cell r="NA1" t="str">
            <v>年代100-104_女</v>
          </cell>
          <cell r="NB1" t="str">
            <v>年代105-109_女</v>
          </cell>
          <cell r="NC1" t="str">
            <v>年代0-4_全体</v>
          </cell>
          <cell r="ND1" t="str">
            <v>年代5-9_全体</v>
          </cell>
          <cell r="NE1" t="str">
            <v>年代10-14_全体</v>
          </cell>
          <cell r="NF1" t="str">
            <v>年代15-19_全体</v>
          </cell>
          <cell r="NG1" t="str">
            <v>年代20-24_全体</v>
          </cell>
          <cell r="NH1" t="str">
            <v>年代25-29_全体</v>
          </cell>
          <cell r="NI1" t="str">
            <v>年代30-34_全体</v>
          </cell>
          <cell r="NJ1" t="str">
            <v>年代35-39_全体</v>
          </cell>
          <cell r="NK1" t="str">
            <v>年代40-44_全体</v>
          </cell>
          <cell r="NL1" t="str">
            <v>年代45-49_全体</v>
          </cell>
          <cell r="NM1" t="str">
            <v>年代50-54_全体</v>
          </cell>
          <cell r="NN1" t="str">
            <v>年代55-59_全体</v>
          </cell>
          <cell r="NO1" t="str">
            <v>年代60-64_全体</v>
          </cell>
          <cell r="NP1" t="str">
            <v>年代65-69_全体</v>
          </cell>
          <cell r="NQ1" t="str">
            <v>年代70-74_全体</v>
          </cell>
          <cell r="NR1" t="str">
            <v>年代75-79_全体</v>
          </cell>
          <cell r="NS1" t="str">
            <v>年代80-84_全体</v>
          </cell>
          <cell r="NT1" t="str">
            <v>年代85-89_全体</v>
          </cell>
          <cell r="NU1" t="str">
            <v>年代90-94_全体</v>
          </cell>
          <cell r="NV1" t="str">
            <v>年代95-99_全体</v>
          </cell>
          <cell r="NW1" t="str">
            <v>年代100-104_全体</v>
          </cell>
          <cell r="NX1" t="str">
            <v>年代105-109_全体</v>
          </cell>
          <cell r="NY1" t="str">
            <v>65以上_男</v>
          </cell>
          <cell r="NZ1" t="str">
            <v>65以上_女</v>
          </cell>
          <cell r="OA1" t="str">
            <v>65以上_全体</v>
          </cell>
          <cell r="OB1" t="str">
            <v>65以上_割合</v>
          </cell>
          <cell r="OC1" t="str">
            <v>合計_男</v>
          </cell>
          <cell r="OD1" t="str">
            <v>合計_女</v>
          </cell>
          <cell r="OE1" t="str">
            <v>合計_総合計</v>
          </cell>
          <cell r="OF1" t="str">
            <v>世帯数</v>
          </cell>
          <cell r="OG1" t="str">
            <v>平均_男</v>
          </cell>
          <cell r="OH1" t="str">
            <v>平均_女</v>
          </cell>
          <cell r="OI1" t="str">
            <v>平均_全体</v>
          </cell>
          <cell r="OJ1" t="str">
            <v>作成日</v>
          </cell>
          <cell r="OK1" t="str">
            <v>集計対象</v>
          </cell>
        </row>
        <row r="2">
          <cell r="A2" t="str">
            <v>大阪府摂津市</v>
          </cell>
          <cell r="B2" t="str">
            <v>全体</v>
          </cell>
          <cell r="C2" t="str">
            <v>平成31年 4月30日</v>
          </cell>
          <cell r="D2">
            <v>406</v>
          </cell>
          <cell r="E2">
            <v>418</v>
          </cell>
          <cell r="F2">
            <v>393</v>
          </cell>
          <cell r="G2">
            <v>421</v>
          </cell>
          <cell r="H2">
            <v>339</v>
          </cell>
          <cell r="I2">
            <v>392</v>
          </cell>
          <cell r="J2">
            <v>372</v>
          </cell>
          <cell r="K2">
            <v>349</v>
          </cell>
          <cell r="L2">
            <v>373</v>
          </cell>
          <cell r="M2">
            <v>398</v>
          </cell>
          <cell r="N2">
            <v>350</v>
          </cell>
          <cell r="O2">
            <v>367</v>
          </cell>
          <cell r="P2">
            <v>394</v>
          </cell>
          <cell r="Q2">
            <v>366</v>
          </cell>
          <cell r="R2">
            <v>404</v>
          </cell>
          <cell r="S2">
            <v>400</v>
          </cell>
          <cell r="T2">
            <v>371</v>
          </cell>
          <cell r="U2">
            <v>431</v>
          </cell>
          <cell r="V2">
            <v>446</v>
          </cell>
          <cell r="W2">
            <v>467</v>
          </cell>
          <cell r="X2">
            <v>483</v>
          </cell>
          <cell r="Y2">
            <v>447</v>
          </cell>
          <cell r="Z2">
            <v>465</v>
          </cell>
          <cell r="AA2">
            <v>484</v>
          </cell>
          <cell r="AB2">
            <v>475</v>
          </cell>
          <cell r="AC2">
            <v>525</v>
          </cell>
          <cell r="AD2">
            <v>496</v>
          </cell>
          <cell r="AE2">
            <v>491</v>
          </cell>
          <cell r="AF2">
            <v>543</v>
          </cell>
          <cell r="AG2">
            <v>497</v>
          </cell>
          <cell r="AH2">
            <v>581</v>
          </cell>
          <cell r="AI2">
            <v>565</v>
          </cell>
          <cell r="AJ2">
            <v>526</v>
          </cell>
          <cell r="AK2">
            <v>554</v>
          </cell>
          <cell r="AL2">
            <v>584</v>
          </cell>
          <cell r="AM2">
            <v>551</v>
          </cell>
          <cell r="AN2">
            <v>581</v>
          </cell>
          <cell r="AO2">
            <v>561</v>
          </cell>
          <cell r="AP2">
            <v>572</v>
          </cell>
          <cell r="AQ2">
            <v>567</v>
          </cell>
          <cell r="AR2">
            <v>600</v>
          </cell>
          <cell r="AS2">
            <v>629</v>
          </cell>
          <cell r="AT2">
            <v>628</v>
          </cell>
          <cell r="AU2">
            <v>726</v>
          </cell>
          <cell r="AV2">
            <v>743</v>
          </cell>
          <cell r="AW2">
            <v>862</v>
          </cell>
          <cell r="AX2">
            <v>853</v>
          </cell>
          <cell r="AY2">
            <v>820</v>
          </cell>
          <cell r="AZ2">
            <v>740</v>
          </cell>
          <cell r="BA2">
            <v>754</v>
          </cell>
          <cell r="BB2">
            <v>673</v>
          </cell>
          <cell r="BC2">
            <v>685</v>
          </cell>
          <cell r="BD2">
            <v>588</v>
          </cell>
          <cell r="BE2">
            <v>555</v>
          </cell>
          <cell r="BF2">
            <v>521</v>
          </cell>
          <cell r="BG2">
            <v>490</v>
          </cell>
          <cell r="BH2">
            <v>488</v>
          </cell>
          <cell r="BI2">
            <v>455</v>
          </cell>
          <cell r="BJ2">
            <v>423</v>
          </cell>
          <cell r="BK2">
            <v>409</v>
          </cell>
          <cell r="BL2">
            <v>455</v>
          </cell>
          <cell r="BM2">
            <v>398</v>
          </cell>
          <cell r="BN2">
            <v>404</v>
          </cell>
          <cell r="BO2">
            <v>411</v>
          </cell>
          <cell r="BP2">
            <v>441</v>
          </cell>
          <cell r="BQ2">
            <v>413</v>
          </cell>
          <cell r="BR2">
            <v>443</v>
          </cell>
          <cell r="BS2">
            <v>506</v>
          </cell>
          <cell r="BT2">
            <v>553</v>
          </cell>
          <cell r="BU2">
            <v>661</v>
          </cell>
          <cell r="BV2">
            <v>633</v>
          </cell>
          <cell r="BW2">
            <v>703</v>
          </cell>
          <cell r="BX2">
            <v>555</v>
          </cell>
          <cell r="BY2">
            <v>337</v>
          </cell>
          <cell r="BZ2">
            <v>452</v>
          </cell>
          <cell r="CA2">
            <v>539</v>
          </cell>
          <cell r="CB2">
            <v>464</v>
          </cell>
          <cell r="CC2">
            <v>543</v>
          </cell>
          <cell r="CD2">
            <v>444</v>
          </cell>
          <cell r="CE2">
            <v>388</v>
          </cell>
          <cell r="CF2">
            <v>312</v>
          </cell>
          <cell r="CG2">
            <v>327</v>
          </cell>
          <cell r="CH2">
            <v>290</v>
          </cell>
          <cell r="CI2">
            <v>261</v>
          </cell>
          <cell r="CJ2">
            <v>201</v>
          </cell>
          <cell r="CK2">
            <v>144</v>
          </cell>
          <cell r="CL2">
            <v>131</v>
          </cell>
          <cell r="CM2">
            <v>118</v>
          </cell>
          <cell r="CN2">
            <v>94</v>
          </cell>
          <cell r="CO2">
            <v>59</v>
          </cell>
          <cell r="CP2">
            <v>61</v>
          </cell>
          <cell r="CQ2">
            <v>39</v>
          </cell>
          <cell r="CR2">
            <v>32</v>
          </cell>
          <cell r="CS2">
            <v>25</v>
          </cell>
          <cell r="CT2">
            <v>13</v>
          </cell>
          <cell r="CU2">
            <v>7</v>
          </cell>
          <cell r="CV2">
            <v>9</v>
          </cell>
          <cell r="CW2">
            <v>7</v>
          </cell>
          <cell r="CX2">
            <v>5</v>
          </cell>
          <cell r="CY2">
            <v>0</v>
          </cell>
          <cell r="CZ2">
            <v>1</v>
          </cell>
          <cell r="DA2">
            <v>0</v>
          </cell>
          <cell r="DB2">
            <v>1</v>
          </cell>
          <cell r="DC2">
            <v>1</v>
          </cell>
          <cell r="DD2">
            <v>0</v>
          </cell>
          <cell r="DE2">
            <v>0</v>
          </cell>
          <cell r="DF2">
            <v>376</v>
          </cell>
          <cell r="DG2">
            <v>384</v>
          </cell>
          <cell r="DH2">
            <v>366</v>
          </cell>
          <cell r="DI2">
            <v>366</v>
          </cell>
          <cell r="DJ2">
            <v>398</v>
          </cell>
          <cell r="DK2">
            <v>344</v>
          </cell>
          <cell r="DL2">
            <v>317</v>
          </cell>
          <cell r="DM2">
            <v>384</v>
          </cell>
          <cell r="DN2">
            <v>348</v>
          </cell>
          <cell r="DO2">
            <v>359</v>
          </cell>
          <cell r="DP2">
            <v>367</v>
          </cell>
          <cell r="DQ2">
            <v>370</v>
          </cell>
          <cell r="DR2">
            <v>346</v>
          </cell>
          <cell r="DS2">
            <v>364</v>
          </cell>
          <cell r="DT2">
            <v>355</v>
          </cell>
          <cell r="DU2">
            <v>381</v>
          </cell>
          <cell r="DV2">
            <v>385</v>
          </cell>
          <cell r="DW2">
            <v>395</v>
          </cell>
          <cell r="DX2">
            <v>387</v>
          </cell>
          <cell r="DY2">
            <v>436</v>
          </cell>
          <cell r="DZ2">
            <v>432</v>
          </cell>
          <cell r="EA2">
            <v>429</v>
          </cell>
          <cell r="EB2">
            <v>476</v>
          </cell>
          <cell r="EC2">
            <v>476</v>
          </cell>
          <cell r="ED2">
            <v>434</v>
          </cell>
          <cell r="EE2">
            <v>433</v>
          </cell>
          <cell r="EF2">
            <v>476</v>
          </cell>
          <cell r="EG2">
            <v>464</v>
          </cell>
          <cell r="EH2">
            <v>541</v>
          </cell>
          <cell r="EI2">
            <v>502</v>
          </cell>
          <cell r="EJ2">
            <v>540</v>
          </cell>
          <cell r="EK2">
            <v>510</v>
          </cell>
          <cell r="EL2">
            <v>534</v>
          </cell>
          <cell r="EM2">
            <v>536</v>
          </cell>
          <cell r="EN2">
            <v>498</v>
          </cell>
          <cell r="EO2">
            <v>538</v>
          </cell>
          <cell r="EP2">
            <v>570</v>
          </cell>
          <cell r="EQ2">
            <v>529</v>
          </cell>
          <cell r="ER2">
            <v>535</v>
          </cell>
          <cell r="ES2">
            <v>551</v>
          </cell>
          <cell r="ET2">
            <v>550</v>
          </cell>
          <cell r="EU2">
            <v>603</v>
          </cell>
          <cell r="EV2">
            <v>581</v>
          </cell>
          <cell r="EW2">
            <v>645</v>
          </cell>
          <cell r="EX2">
            <v>722</v>
          </cell>
          <cell r="EY2">
            <v>747</v>
          </cell>
          <cell r="EZ2">
            <v>768</v>
          </cell>
          <cell r="FA2">
            <v>748</v>
          </cell>
          <cell r="FB2">
            <v>699</v>
          </cell>
          <cell r="FC2">
            <v>654</v>
          </cell>
          <cell r="FD2">
            <v>607</v>
          </cell>
          <cell r="FE2">
            <v>598</v>
          </cell>
          <cell r="FF2">
            <v>504</v>
          </cell>
          <cell r="FG2">
            <v>473</v>
          </cell>
          <cell r="FH2">
            <v>493</v>
          </cell>
          <cell r="FI2">
            <v>479</v>
          </cell>
          <cell r="FJ2">
            <v>432</v>
          </cell>
          <cell r="FK2">
            <v>430</v>
          </cell>
          <cell r="FL2">
            <v>399</v>
          </cell>
          <cell r="FM2">
            <v>408</v>
          </cell>
          <cell r="FN2">
            <v>403</v>
          </cell>
          <cell r="FO2">
            <v>390</v>
          </cell>
          <cell r="FP2">
            <v>417</v>
          </cell>
          <cell r="FQ2">
            <v>414</v>
          </cell>
          <cell r="FR2">
            <v>464</v>
          </cell>
          <cell r="FS2">
            <v>462</v>
          </cell>
          <cell r="FT2">
            <v>511</v>
          </cell>
          <cell r="FU2">
            <v>533</v>
          </cell>
          <cell r="FV2">
            <v>621</v>
          </cell>
          <cell r="FW2">
            <v>725</v>
          </cell>
          <cell r="FX2">
            <v>782</v>
          </cell>
          <cell r="FY2">
            <v>775</v>
          </cell>
          <cell r="FZ2">
            <v>637</v>
          </cell>
          <cell r="GA2">
            <v>424</v>
          </cell>
          <cell r="GB2">
            <v>562</v>
          </cell>
          <cell r="GC2">
            <v>614</v>
          </cell>
          <cell r="GD2">
            <v>648</v>
          </cell>
          <cell r="GE2">
            <v>606</v>
          </cell>
          <cell r="GF2">
            <v>538</v>
          </cell>
          <cell r="GG2">
            <v>459</v>
          </cell>
          <cell r="GH2">
            <v>365</v>
          </cell>
          <cell r="GI2">
            <v>385</v>
          </cell>
          <cell r="GJ2">
            <v>344</v>
          </cell>
          <cell r="GK2">
            <v>324</v>
          </cell>
          <cell r="GL2">
            <v>270</v>
          </cell>
          <cell r="GM2">
            <v>275</v>
          </cell>
          <cell r="GN2">
            <v>239</v>
          </cell>
          <cell r="GO2">
            <v>194</v>
          </cell>
          <cell r="GP2">
            <v>149</v>
          </cell>
          <cell r="GQ2">
            <v>157</v>
          </cell>
          <cell r="GR2">
            <v>146</v>
          </cell>
          <cell r="GS2">
            <v>94</v>
          </cell>
          <cell r="GT2">
            <v>105</v>
          </cell>
          <cell r="GU2">
            <v>73</v>
          </cell>
          <cell r="GV2">
            <v>64</v>
          </cell>
          <cell r="GW2">
            <v>52</v>
          </cell>
          <cell r="GX2">
            <v>30</v>
          </cell>
          <cell r="GY2">
            <v>33</v>
          </cell>
          <cell r="GZ2">
            <v>20</v>
          </cell>
          <cell r="HA2">
            <v>19</v>
          </cell>
          <cell r="HB2">
            <v>4</v>
          </cell>
          <cell r="HC2">
            <v>4</v>
          </cell>
          <cell r="HD2">
            <v>2</v>
          </cell>
          <cell r="HE2">
            <v>3</v>
          </cell>
          <cell r="HF2">
            <v>3</v>
          </cell>
          <cell r="HG2">
            <v>0</v>
          </cell>
          <cell r="HH2">
            <v>1</v>
          </cell>
          <cell r="HI2">
            <v>782</v>
          </cell>
          <cell r="HJ2">
            <v>802</v>
          </cell>
          <cell r="HK2">
            <v>759</v>
          </cell>
          <cell r="HL2">
            <v>787</v>
          </cell>
          <cell r="HM2">
            <v>737</v>
          </cell>
          <cell r="HN2">
            <v>736</v>
          </cell>
          <cell r="HO2">
            <v>689</v>
          </cell>
          <cell r="HP2">
            <v>733</v>
          </cell>
          <cell r="HQ2">
            <v>721</v>
          </cell>
          <cell r="HR2">
            <v>757</v>
          </cell>
          <cell r="HS2">
            <v>717</v>
          </cell>
          <cell r="HT2">
            <v>737</v>
          </cell>
          <cell r="HU2">
            <v>740</v>
          </cell>
          <cell r="HV2">
            <v>730</v>
          </cell>
          <cell r="HW2">
            <v>759</v>
          </cell>
          <cell r="HX2">
            <v>781</v>
          </cell>
          <cell r="HY2">
            <v>756</v>
          </cell>
          <cell r="HZ2">
            <v>826</v>
          </cell>
          <cell r="IA2">
            <v>833</v>
          </cell>
          <cell r="IB2">
            <v>903</v>
          </cell>
          <cell r="IC2">
            <v>915</v>
          </cell>
          <cell r="ID2">
            <v>876</v>
          </cell>
          <cell r="IE2">
            <v>941</v>
          </cell>
          <cell r="IF2">
            <v>960</v>
          </cell>
          <cell r="IG2">
            <v>909</v>
          </cell>
          <cell r="IH2">
            <v>958</v>
          </cell>
          <cell r="II2">
            <v>972</v>
          </cell>
          <cell r="IJ2">
            <v>955</v>
          </cell>
          <cell r="IK2">
            <v>1084</v>
          </cell>
          <cell r="IL2">
            <v>999</v>
          </cell>
          <cell r="IM2">
            <v>1121</v>
          </cell>
          <cell r="IN2">
            <v>1075</v>
          </cell>
          <cell r="IO2">
            <v>1060</v>
          </cell>
          <cell r="IP2">
            <v>1090</v>
          </cell>
          <cell r="IQ2">
            <v>1082</v>
          </cell>
          <cell r="IR2">
            <v>1089</v>
          </cell>
          <cell r="IS2">
            <v>1151</v>
          </cell>
          <cell r="IT2">
            <v>1090</v>
          </cell>
          <cell r="IU2">
            <v>1107</v>
          </cell>
          <cell r="IV2">
            <v>1118</v>
          </cell>
          <cell r="IW2">
            <v>1150</v>
          </cell>
          <cell r="IX2">
            <v>1232</v>
          </cell>
          <cell r="IY2">
            <v>1209</v>
          </cell>
          <cell r="IZ2">
            <v>1371</v>
          </cell>
          <cell r="JA2">
            <v>1465</v>
          </cell>
          <cell r="JB2">
            <v>1609</v>
          </cell>
          <cell r="JC2">
            <v>1621</v>
          </cell>
          <cell r="JD2">
            <v>1568</v>
          </cell>
          <cell r="JE2">
            <v>1439</v>
          </cell>
          <cell r="JF2">
            <v>1408</v>
          </cell>
          <cell r="JG2">
            <v>1280</v>
          </cell>
          <cell r="JH2">
            <v>1283</v>
          </cell>
          <cell r="JI2">
            <v>1092</v>
          </cell>
          <cell r="JJ2">
            <v>1028</v>
          </cell>
          <cell r="JK2">
            <v>1014</v>
          </cell>
          <cell r="JL2">
            <v>969</v>
          </cell>
          <cell r="JM2">
            <v>920</v>
          </cell>
          <cell r="JN2">
            <v>885</v>
          </cell>
          <cell r="JO2">
            <v>822</v>
          </cell>
          <cell r="JP2">
            <v>817</v>
          </cell>
          <cell r="JQ2">
            <v>858</v>
          </cell>
          <cell r="JR2">
            <v>788</v>
          </cell>
          <cell r="JS2">
            <v>821</v>
          </cell>
          <cell r="JT2">
            <v>825</v>
          </cell>
          <cell r="JU2">
            <v>905</v>
          </cell>
          <cell r="JV2">
            <v>875</v>
          </cell>
          <cell r="JW2">
            <v>954</v>
          </cell>
          <cell r="JX2">
            <v>1039</v>
          </cell>
          <cell r="JY2">
            <v>1174</v>
          </cell>
          <cell r="JZ2">
            <v>1386</v>
          </cell>
          <cell r="KA2">
            <v>1415</v>
          </cell>
          <cell r="KB2">
            <v>1478</v>
          </cell>
          <cell r="KC2">
            <v>1192</v>
          </cell>
          <cell r="KD2">
            <v>761</v>
          </cell>
          <cell r="KE2">
            <v>1014</v>
          </cell>
          <cell r="KF2">
            <v>1153</v>
          </cell>
          <cell r="KG2">
            <v>1112</v>
          </cell>
          <cell r="KH2">
            <v>1149</v>
          </cell>
          <cell r="KI2">
            <v>982</v>
          </cell>
          <cell r="KJ2">
            <v>847</v>
          </cell>
          <cell r="KK2">
            <v>677</v>
          </cell>
          <cell r="KL2">
            <v>712</v>
          </cell>
          <cell r="KM2">
            <v>634</v>
          </cell>
          <cell r="KN2">
            <v>585</v>
          </cell>
          <cell r="KO2">
            <v>471</v>
          </cell>
          <cell r="KP2">
            <v>419</v>
          </cell>
          <cell r="KQ2">
            <v>370</v>
          </cell>
          <cell r="KR2">
            <v>312</v>
          </cell>
          <cell r="KS2">
            <v>243</v>
          </cell>
          <cell r="KT2">
            <v>216</v>
          </cell>
          <cell r="KU2">
            <v>207</v>
          </cell>
          <cell r="KV2">
            <v>133</v>
          </cell>
          <cell r="KW2">
            <v>137</v>
          </cell>
          <cell r="KX2">
            <v>98</v>
          </cell>
          <cell r="KY2">
            <v>77</v>
          </cell>
          <cell r="KZ2">
            <v>59</v>
          </cell>
          <cell r="LA2">
            <v>39</v>
          </cell>
          <cell r="LB2">
            <v>40</v>
          </cell>
          <cell r="LC2">
            <v>25</v>
          </cell>
          <cell r="LD2">
            <v>19</v>
          </cell>
          <cell r="LE2">
            <v>5</v>
          </cell>
          <cell r="LF2">
            <v>4</v>
          </cell>
          <cell r="LG2">
            <v>3</v>
          </cell>
          <cell r="LH2">
            <v>4</v>
          </cell>
          <cell r="LI2">
            <v>3</v>
          </cell>
          <cell r="LJ2">
            <v>0</v>
          </cell>
          <cell r="LK2">
            <v>1</v>
          </cell>
          <cell r="LL2">
            <v>1977</v>
          </cell>
          <cell r="LM2">
            <v>1884</v>
          </cell>
          <cell r="LN2">
            <v>1881</v>
          </cell>
          <cell r="LO2">
            <v>2115</v>
          </cell>
          <cell r="LP2">
            <v>2354</v>
          </cell>
          <cell r="LQ2">
            <v>2552</v>
          </cell>
          <cell r="LR2">
            <v>2810</v>
          </cell>
          <cell r="LS2">
            <v>2832</v>
          </cell>
          <cell r="LT2">
            <v>3326</v>
          </cell>
          <cell r="LU2">
            <v>4029</v>
          </cell>
          <cell r="LV2">
            <v>3022</v>
          </cell>
          <cell r="LW2">
            <v>2265</v>
          </cell>
          <cell r="LX2">
            <v>2109</v>
          </cell>
          <cell r="LY2">
            <v>2576</v>
          </cell>
          <cell r="LZ2">
            <v>2680</v>
          </cell>
          <cell r="MA2">
            <v>2378</v>
          </cell>
          <cell r="MB2">
            <v>1391</v>
          </cell>
          <cell r="MC2">
            <v>546</v>
          </cell>
          <cell r="MD2">
            <v>170</v>
          </cell>
          <cell r="ME2">
            <v>28</v>
          </cell>
          <cell r="MF2">
            <v>3</v>
          </cell>
          <cell r="MG2">
            <v>1890</v>
          </cell>
          <cell r="MH2">
            <v>1752</v>
          </cell>
          <cell r="MI2">
            <v>1802</v>
          </cell>
          <cell r="MJ2">
            <v>1984</v>
          </cell>
          <cell r="MK2">
            <v>2247</v>
          </cell>
          <cell r="ML2">
            <v>2416</v>
          </cell>
          <cell r="MM2">
            <v>2618</v>
          </cell>
          <cell r="MN2">
            <v>2723</v>
          </cell>
          <cell r="MO2">
            <v>3101</v>
          </cell>
          <cell r="MP2">
            <v>3616</v>
          </cell>
          <cell r="MQ2">
            <v>2675</v>
          </cell>
          <cell r="MR2">
            <v>2148</v>
          </cell>
          <cell r="MS2">
            <v>2088</v>
          </cell>
          <cell r="MT2">
            <v>2852</v>
          </cell>
          <cell r="MU2">
            <v>3180</v>
          </cell>
          <cell r="MV2">
            <v>2865</v>
          </cell>
          <cell r="MW2">
            <v>1688</v>
          </cell>
          <cell r="MX2">
            <v>1014</v>
          </cell>
          <cell r="MY2">
            <v>482</v>
          </cell>
          <cell r="MZ2">
            <v>154</v>
          </cell>
          <cell r="NA2">
            <v>16</v>
          </cell>
          <cell r="NB2">
            <v>0</v>
          </cell>
          <cell r="NC2">
            <v>3867</v>
          </cell>
          <cell r="ND2">
            <v>3636</v>
          </cell>
          <cell r="NE2">
            <v>3683</v>
          </cell>
          <cell r="NF2">
            <v>4099</v>
          </cell>
          <cell r="NG2">
            <v>4601</v>
          </cell>
          <cell r="NH2">
            <v>4968</v>
          </cell>
          <cell r="NI2">
            <v>5428</v>
          </cell>
          <cell r="NJ2">
            <v>5555</v>
          </cell>
          <cell r="NK2">
            <v>6427</v>
          </cell>
          <cell r="NL2">
            <v>7645</v>
          </cell>
          <cell r="NM2">
            <v>5697</v>
          </cell>
          <cell r="NN2">
            <v>4413</v>
          </cell>
          <cell r="NO2">
            <v>4197</v>
          </cell>
          <cell r="NP2">
            <v>5428</v>
          </cell>
          <cell r="NQ2">
            <v>5860</v>
          </cell>
          <cell r="NR2">
            <v>5243</v>
          </cell>
          <cell r="NS2">
            <v>3079</v>
          </cell>
          <cell r="NT2">
            <v>1560</v>
          </cell>
          <cell r="NU2">
            <v>652</v>
          </cell>
          <cell r="NV2">
            <v>182</v>
          </cell>
          <cell r="NW2">
            <v>19</v>
          </cell>
          <cell r="NX2">
            <v>1</v>
          </cell>
          <cell r="NY2">
            <v>9772</v>
          </cell>
          <cell r="NZ2">
            <v>12252</v>
          </cell>
          <cell r="OA2">
            <v>22024</v>
          </cell>
          <cell r="OB2">
            <v>25.5</v>
          </cell>
          <cell r="OC2">
            <v>42928</v>
          </cell>
          <cell r="OD2">
            <v>43312</v>
          </cell>
          <cell r="OE2">
            <v>86240</v>
          </cell>
          <cell r="OF2">
            <v>40992</v>
          </cell>
          <cell r="OG2">
            <v>43</v>
          </cell>
          <cell r="OH2">
            <v>46</v>
          </cell>
          <cell r="OI2">
            <v>45</v>
          </cell>
          <cell r="OJ2" t="str">
            <v>令和元年 5月 7日</v>
          </cell>
          <cell r="OK2" t="str">
            <v>※外国人を含めた集計です。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操作方法"/>
      <sheetName val="データ貼り付けシート"/>
      <sheetName val="印刷用シート"/>
      <sheetName val="ホームページ用シート"/>
    </sheetNames>
    <sheetDataSet>
      <sheetData sheetId="0"/>
      <sheetData sheetId="1">
        <row r="1">
          <cell r="A1" t="str">
            <v>自治体名</v>
          </cell>
          <cell r="B1" t="str">
            <v>集計区分</v>
          </cell>
          <cell r="C1" t="str">
            <v>基準日</v>
          </cell>
          <cell r="D1" t="str">
            <v>0_男</v>
          </cell>
          <cell r="E1" t="str">
            <v>1_男</v>
          </cell>
          <cell r="F1" t="str">
            <v>2_男</v>
          </cell>
          <cell r="G1" t="str">
            <v>3_男</v>
          </cell>
          <cell r="H1" t="str">
            <v>4_男</v>
          </cell>
          <cell r="I1" t="str">
            <v>5_男</v>
          </cell>
          <cell r="J1" t="str">
            <v>6_男</v>
          </cell>
          <cell r="K1" t="str">
            <v>7_男</v>
          </cell>
          <cell r="L1" t="str">
            <v>8_男</v>
          </cell>
          <cell r="M1" t="str">
            <v>9_男</v>
          </cell>
          <cell r="N1" t="str">
            <v>10_男</v>
          </cell>
          <cell r="O1" t="str">
            <v>11_男</v>
          </cell>
          <cell r="P1" t="str">
            <v>12_男</v>
          </cell>
          <cell r="Q1" t="str">
            <v>13_男</v>
          </cell>
          <cell r="R1" t="str">
            <v>14_男</v>
          </cell>
          <cell r="S1" t="str">
            <v>15_男</v>
          </cell>
          <cell r="T1" t="str">
            <v>16_男</v>
          </cell>
          <cell r="U1" t="str">
            <v>17_男</v>
          </cell>
          <cell r="V1" t="str">
            <v>18_男</v>
          </cell>
          <cell r="W1" t="str">
            <v>19_男</v>
          </cell>
          <cell r="X1" t="str">
            <v>20_男</v>
          </cell>
          <cell r="Y1" t="str">
            <v>21_男</v>
          </cell>
          <cell r="Z1" t="str">
            <v>22_男</v>
          </cell>
          <cell r="AA1" t="str">
            <v>23_男</v>
          </cell>
          <cell r="AB1" t="str">
            <v>24_男</v>
          </cell>
          <cell r="AC1" t="str">
            <v>25_男</v>
          </cell>
          <cell r="AD1" t="str">
            <v>26_男</v>
          </cell>
          <cell r="AE1" t="str">
            <v>27_男</v>
          </cell>
          <cell r="AF1" t="str">
            <v>28_男</v>
          </cell>
          <cell r="AG1" t="str">
            <v>29_男</v>
          </cell>
          <cell r="AH1" t="str">
            <v>30_男</v>
          </cell>
          <cell r="AI1" t="str">
            <v>31_男</v>
          </cell>
          <cell r="AJ1" t="str">
            <v>32_男</v>
          </cell>
          <cell r="AK1" t="str">
            <v>33_男</v>
          </cell>
          <cell r="AL1" t="str">
            <v>34_男</v>
          </cell>
          <cell r="AM1" t="str">
            <v>35_男</v>
          </cell>
          <cell r="AN1" t="str">
            <v>36_男</v>
          </cell>
          <cell r="AO1" t="str">
            <v>37_男</v>
          </cell>
          <cell r="AP1" t="str">
            <v>38_男</v>
          </cell>
          <cell r="AQ1" t="str">
            <v>39_男</v>
          </cell>
          <cell r="AR1" t="str">
            <v>40_男</v>
          </cell>
          <cell r="AS1" t="str">
            <v>41_男</v>
          </cell>
          <cell r="AT1" t="str">
            <v>42_男</v>
          </cell>
          <cell r="AU1" t="str">
            <v>43_男</v>
          </cell>
          <cell r="AV1" t="str">
            <v>44_男</v>
          </cell>
          <cell r="AW1" t="str">
            <v>45_男</v>
          </cell>
          <cell r="AX1" t="str">
            <v>46_男</v>
          </cell>
          <cell r="AY1" t="str">
            <v>47_男</v>
          </cell>
          <cell r="AZ1" t="str">
            <v>48_男</v>
          </cell>
          <cell r="BA1" t="str">
            <v>49_男</v>
          </cell>
          <cell r="BB1" t="str">
            <v>50_男</v>
          </cell>
          <cell r="BC1" t="str">
            <v>51_男</v>
          </cell>
          <cell r="BD1" t="str">
            <v>52_男</v>
          </cell>
          <cell r="BE1" t="str">
            <v>53_男</v>
          </cell>
          <cell r="BF1" t="str">
            <v>54_男</v>
          </cell>
          <cell r="BG1" t="str">
            <v>55_男</v>
          </cell>
          <cell r="BH1" t="str">
            <v>56_男</v>
          </cell>
          <cell r="BI1" t="str">
            <v>57_男</v>
          </cell>
          <cell r="BJ1" t="str">
            <v>58_男</v>
          </cell>
          <cell r="BK1" t="str">
            <v>59_男</v>
          </cell>
          <cell r="BL1" t="str">
            <v>60_男</v>
          </cell>
          <cell r="BM1" t="str">
            <v>61_男</v>
          </cell>
          <cell r="BN1" t="str">
            <v>62_男</v>
          </cell>
          <cell r="BO1" t="str">
            <v>63_男</v>
          </cell>
          <cell r="BP1" t="str">
            <v>64_男</v>
          </cell>
          <cell r="BQ1" t="str">
            <v>65_男</v>
          </cell>
          <cell r="BR1" t="str">
            <v>66_男</v>
          </cell>
          <cell r="BS1" t="str">
            <v>67_男</v>
          </cell>
          <cell r="BT1" t="str">
            <v>68_男</v>
          </cell>
          <cell r="BU1" t="str">
            <v>69_男</v>
          </cell>
          <cell r="BV1" t="str">
            <v>70_男</v>
          </cell>
          <cell r="BW1" t="str">
            <v>71_男</v>
          </cell>
          <cell r="BX1" t="str">
            <v>72_男</v>
          </cell>
          <cell r="BY1" t="str">
            <v>73_男</v>
          </cell>
          <cell r="BZ1" t="str">
            <v>74_男</v>
          </cell>
          <cell r="CA1" t="str">
            <v>75_男</v>
          </cell>
          <cell r="CB1" t="str">
            <v>76_男</v>
          </cell>
          <cell r="CC1" t="str">
            <v>77_男</v>
          </cell>
          <cell r="CD1" t="str">
            <v>78_男</v>
          </cell>
          <cell r="CE1" t="str">
            <v>79_男</v>
          </cell>
          <cell r="CF1" t="str">
            <v>80_男</v>
          </cell>
          <cell r="CG1" t="str">
            <v>81_男</v>
          </cell>
          <cell r="CH1" t="str">
            <v>82_男</v>
          </cell>
          <cell r="CI1" t="str">
            <v>83_男</v>
          </cell>
          <cell r="CJ1" t="str">
            <v>84_男</v>
          </cell>
          <cell r="CK1" t="str">
            <v>85_男</v>
          </cell>
          <cell r="CL1" t="str">
            <v>86_男</v>
          </cell>
          <cell r="CM1" t="str">
            <v>87_男</v>
          </cell>
          <cell r="CN1" t="str">
            <v>88_男</v>
          </cell>
          <cell r="CO1" t="str">
            <v>89_男</v>
          </cell>
          <cell r="CP1" t="str">
            <v>90_男</v>
          </cell>
          <cell r="CQ1" t="str">
            <v>91_男</v>
          </cell>
          <cell r="CR1" t="str">
            <v>92_男</v>
          </cell>
          <cell r="CS1" t="str">
            <v>93_男</v>
          </cell>
          <cell r="CT1" t="str">
            <v>94_男</v>
          </cell>
          <cell r="CU1" t="str">
            <v>95_男</v>
          </cell>
          <cell r="CV1" t="str">
            <v>96_男</v>
          </cell>
          <cell r="CW1" t="str">
            <v>97_男</v>
          </cell>
          <cell r="CX1" t="str">
            <v>98_男</v>
          </cell>
          <cell r="CY1" t="str">
            <v>99_男</v>
          </cell>
          <cell r="CZ1" t="str">
            <v>100_男</v>
          </cell>
          <cell r="DA1" t="str">
            <v>101_男</v>
          </cell>
          <cell r="DB1" t="str">
            <v>102_男</v>
          </cell>
          <cell r="DC1" t="str">
            <v>103_男</v>
          </cell>
          <cell r="DD1" t="str">
            <v>104_男</v>
          </cell>
          <cell r="DE1" t="str">
            <v>105以上_男</v>
          </cell>
          <cell r="DF1" t="str">
            <v>0_女</v>
          </cell>
          <cell r="DG1" t="str">
            <v>1_女</v>
          </cell>
          <cell r="DH1" t="str">
            <v>2_女</v>
          </cell>
          <cell r="DI1" t="str">
            <v>3_女</v>
          </cell>
          <cell r="DJ1" t="str">
            <v>4_女</v>
          </cell>
          <cell r="DK1" t="str">
            <v>5_女</v>
          </cell>
          <cell r="DL1" t="str">
            <v>6_女</v>
          </cell>
          <cell r="DM1" t="str">
            <v>7_女</v>
          </cell>
          <cell r="DN1" t="str">
            <v>8_女</v>
          </cell>
          <cell r="DO1" t="str">
            <v>9_女</v>
          </cell>
          <cell r="DP1" t="str">
            <v>10_女</v>
          </cell>
          <cell r="DQ1" t="str">
            <v>11_女</v>
          </cell>
          <cell r="DR1" t="str">
            <v>12_女</v>
          </cell>
          <cell r="DS1" t="str">
            <v>13_女</v>
          </cell>
          <cell r="DT1" t="str">
            <v>14_女</v>
          </cell>
          <cell r="DU1" t="str">
            <v>15_女</v>
          </cell>
          <cell r="DV1" t="str">
            <v>16_女</v>
          </cell>
          <cell r="DW1" t="str">
            <v>17_女</v>
          </cell>
          <cell r="DX1" t="str">
            <v>18_女</v>
          </cell>
          <cell r="DY1" t="str">
            <v>19_女</v>
          </cell>
          <cell r="DZ1" t="str">
            <v>20_女</v>
          </cell>
          <cell r="EA1" t="str">
            <v>21_女</v>
          </cell>
          <cell r="EB1" t="str">
            <v>22_女</v>
          </cell>
          <cell r="EC1" t="str">
            <v>23_女</v>
          </cell>
          <cell r="ED1" t="str">
            <v>24_女</v>
          </cell>
          <cell r="EE1" t="str">
            <v>25_女</v>
          </cell>
          <cell r="EF1" t="str">
            <v>26_女</v>
          </cell>
          <cell r="EG1" t="str">
            <v>27_女</v>
          </cell>
          <cell r="EH1" t="str">
            <v>28_女</v>
          </cell>
          <cell r="EI1" t="str">
            <v>29_女</v>
          </cell>
          <cell r="EJ1" t="str">
            <v>30_女</v>
          </cell>
          <cell r="EK1" t="str">
            <v>31_女</v>
          </cell>
          <cell r="EL1" t="str">
            <v>32_女</v>
          </cell>
          <cell r="EM1" t="str">
            <v>33_女</v>
          </cell>
          <cell r="EN1" t="str">
            <v>34_女</v>
          </cell>
          <cell r="EO1" t="str">
            <v>35_女</v>
          </cell>
          <cell r="EP1" t="str">
            <v>36_女</v>
          </cell>
          <cell r="EQ1" t="str">
            <v>37_女</v>
          </cell>
          <cell r="ER1" t="str">
            <v>38_女</v>
          </cell>
          <cell r="ES1" t="str">
            <v>39_女</v>
          </cell>
          <cell r="ET1" t="str">
            <v>40_女</v>
          </cell>
          <cell r="EU1" t="str">
            <v>41_女</v>
          </cell>
          <cell r="EV1" t="str">
            <v>42_女</v>
          </cell>
          <cell r="EW1" t="str">
            <v>43_女</v>
          </cell>
          <cell r="EX1" t="str">
            <v>44_女</v>
          </cell>
          <cell r="EY1" t="str">
            <v>45_女</v>
          </cell>
          <cell r="EZ1" t="str">
            <v>46_女</v>
          </cell>
          <cell r="FA1" t="str">
            <v>47_女</v>
          </cell>
          <cell r="FB1" t="str">
            <v>48_女</v>
          </cell>
          <cell r="FC1" t="str">
            <v>49_女</v>
          </cell>
          <cell r="FD1" t="str">
            <v>50_女</v>
          </cell>
          <cell r="FE1" t="str">
            <v>51_女</v>
          </cell>
          <cell r="FF1" t="str">
            <v>52_女</v>
          </cell>
          <cell r="FG1" t="str">
            <v>53_女</v>
          </cell>
          <cell r="FH1" t="str">
            <v>54_女</v>
          </cell>
          <cell r="FI1" t="str">
            <v>55_女</v>
          </cell>
          <cell r="FJ1" t="str">
            <v>56_女</v>
          </cell>
          <cell r="FK1" t="str">
            <v>57_女</v>
          </cell>
          <cell r="FL1" t="str">
            <v>58_女</v>
          </cell>
          <cell r="FM1" t="str">
            <v>59_女</v>
          </cell>
          <cell r="FN1" t="str">
            <v>60_女</v>
          </cell>
          <cell r="FO1" t="str">
            <v>61_女</v>
          </cell>
          <cell r="FP1" t="str">
            <v>62_女</v>
          </cell>
          <cell r="FQ1" t="str">
            <v>63_女</v>
          </cell>
          <cell r="FR1" t="str">
            <v>64_女</v>
          </cell>
          <cell r="FS1" t="str">
            <v>65_女</v>
          </cell>
          <cell r="FT1" t="str">
            <v>66_女</v>
          </cell>
          <cell r="FU1" t="str">
            <v>67_女</v>
          </cell>
          <cell r="FV1" t="str">
            <v>68_女</v>
          </cell>
          <cell r="FW1" t="str">
            <v>69_女</v>
          </cell>
          <cell r="FX1" t="str">
            <v>70_女</v>
          </cell>
          <cell r="FY1" t="str">
            <v>71_女</v>
          </cell>
          <cell r="FZ1" t="str">
            <v>72_女</v>
          </cell>
          <cell r="GA1" t="str">
            <v>73_女</v>
          </cell>
          <cell r="GB1" t="str">
            <v>74_女</v>
          </cell>
          <cell r="GC1" t="str">
            <v>75_女</v>
          </cell>
          <cell r="GD1" t="str">
            <v>76_女</v>
          </cell>
          <cell r="GE1" t="str">
            <v>77_女</v>
          </cell>
          <cell r="GF1" t="str">
            <v>78_女</v>
          </cell>
          <cell r="GG1" t="str">
            <v>79_女</v>
          </cell>
          <cell r="GH1" t="str">
            <v>80_女</v>
          </cell>
          <cell r="GI1" t="str">
            <v>81_女</v>
          </cell>
          <cell r="GJ1" t="str">
            <v>82_女</v>
          </cell>
          <cell r="GK1" t="str">
            <v>83_女</v>
          </cell>
          <cell r="GL1" t="str">
            <v>84_女</v>
          </cell>
          <cell r="GM1" t="str">
            <v>85_女</v>
          </cell>
          <cell r="GN1" t="str">
            <v>86_女</v>
          </cell>
          <cell r="GO1" t="str">
            <v>87_女</v>
          </cell>
          <cell r="GP1" t="str">
            <v>88_女</v>
          </cell>
          <cell r="GQ1" t="str">
            <v>89_女</v>
          </cell>
          <cell r="GR1" t="str">
            <v>90_女</v>
          </cell>
          <cell r="GS1" t="str">
            <v>91_女</v>
          </cell>
          <cell r="GT1" t="str">
            <v>92_女</v>
          </cell>
          <cell r="GU1" t="str">
            <v>93_女</v>
          </cell>
          <cell r="GV1" t="str">
            <v>94_女</v>
          </cell>
          <cell r="GW1" t="str">
            <v>95_女</v>
          </cell>
          <cell r="GX1" t="str">
            <v>96_女</v>
          </cell>
          <cell r="GY1" t="str">
            <v>97_女</v>
          </cell>
          <cell r="GZ1" t="str">
            <v>98_女</v>
          </cell>
          <cell r="HA1" t="str">
            <v>99_女</v>
          </cell>
          <cell r="HB1" t="str">
            <v>100_女</v>
          </cell>
          <cell r="HC1" t="str">
            <v>101_女</v>
          </cell>
          <cell r="HD1" t="str">
            <v>102_女</v>
          </cell>
          <cell r="HE1" t="str">
            <v>103_女</v>
          </cell>
          <cell r="HF1" t="str">
            <v>104_女</v>
          </cell>
          <cell r="HG1" t="str">
            <v>105_女</v>
          </cell>
          <cell r="HH1" t="str">
            <v>106_女</v>
          </cell>
          <cell r="HI1" t="str">
            <v>0_全体</v>
          </cell>
          <cell r="HJ1" t="str">
            <v>1_全体</v>
          </cell>
          <cell r="HK1" t="str">
            <v>2_全体</v>
          </cell>
          <cell r="HL1" t="str">
            <v>3_全体</v>
          </cell>
          <cell r="HM1" t="str">
            <v>4_全体</v>
          </cell>
          <cell r="HN1" t="str">
            <v>5_全体</v>
          </cell>
          <cell r="HO1" t="str">
            <v>6_全体</v>
          </cell>
          <cell r="HP1" t="str">
            <v>7_全体</v>
          </cell>
          <cell r="HQ1" t="str">
            <v>8_全体</v>
          </cell>
          <cell r="HR1" t="str">
            <v>9_全体</v>
          </cell>
          <cell r="HS1" t="str">
            <v>10_全体</v>
          </cell>
          <cell r="HT1" t="str">
            <v>11_全体</v>
          </cell>
          <cell r="HU1" t="str">
            <v>12_全体</v>
          </cell>
          <cell r="HV1" t="str">
            <v>13_全体</v>
          </cell>
          <cell r="HW1" t="str">
            <v>14_全体</v>
          </cell>
          <cell r="HX1" t="str">
            <v>15_全体</v>
          </cell>
          <cell r="HY1" t="str">
            <v>16_全体</v>
          </cell>
          <cell r="HZ1" t="str">
            <v>17_全体</v>
          </cell>
          <cell r="IA1" t="str">
            <v>18_全体</v>
          </cell>
          <cell r="IB1" t="str">
            <v>19_全体</v>
          </cell>
          <cell r="IC1" t="str">
            <v>20_全体</v>
          </cell>
          <cell r="ID1" t="str">
            <v>21_全体</v>
          </cell>
          <cell r="IE1" t="str">
            <v>22_全体</v>
          </cell>
          <cell r="IF1" t="str">
            <v>23_全体</v>
          </cell>
          <cell r="IG1" t="str">
            <v>24_全体</v>
          </cell>
          <cell r="IH1" t="str">
            <v>25_全体</v>
          </cell>
          <cell r="II1" t="str">
            <v>26_全体</v>
          </cell>
          <cell r="IJ1" t="str">
            <v>27_全体</v>
          </cell>
          <cell r="IK1" t="str">
            <v>28_全体</v>
          </cell>
          <cell r="IL1" t="str">
            <v>29_全体</v>
          </cell>
          <cell r="IM1" t="str">
            <v>30_全体</v>
          </cell>
          <cell r="IN1" t="str">
            <v>31_全体</v>
          </cell>
          <cell r="IO1" t="str">
            <v>32_全体</v>
          </cell>
          <cell r="IP1" t="str">
            <v>33_全体</v>
          </cell>
          <cell r="IQ1" t="str">
            <v>34_全体</v>
          </cell>
          <cell r="IR1" t="str">
            <v>35_全体</v>
          </cell>
          <cell r="IS1" t="str">
            <v>36_全体</v>
          </cell>
          <cell r="IT1" t="str">
            <v>37_全体</v>
          </cell>
          <cell r="IU1" t="str">
            <v>38_全体</v>
          </cell>
          <cell r="IV1" t="str">
            <v>39_全体</v>
          </cell>
          <cell r="IW1" t="str">
            <v>40_全体</v>
          </cell>
          <cell r="IX1" t="str">
            <v>41_全体</v>
          </cell>
          <cell r="IY1" t="str">
            <v>42_全体</v>
          </cell>
          <cell r="IZ1" t="str">
            <v>43_全体</v>
          </cell>
          <cell r="JA1" t="str">
            <v>44_全体</v>
          </cell>
          <cell r="JB1" t="str">
            <v>45_全体</v>
          </cell>
          <cell r="JC1" t="str">
            <v>46_全体</v>
          </cell>
          <cell r="JD1" t="str">
            <v>47_全体</v>
          </cell>
          <cell r="JE1" t="str">
            <v>48_全体</v>
          </cell>
          <cell r="JF1" t="str">
            <v>49_全体</v>
          </cell>
          <cell r="JG1" t="str">
            <v>50_全体</v>
          </cell>
          <cell r="JH1" t="str">
            <v>51_全体</v>
          </cell>
          <cell r="JI1" t="str">
            <v>52_全体</v>
          </cell>
          <cell r="JJ1" t="str">
            <v>53_全体</v>
          </cell>
          <cell r="JK1" t="str">
            <v>54_全体</v>
          </cell>
          <cell r="JL1" t="str">
            <v>55_全体</v>
          </cell>
          <cell r="JM1" t="str">
            <v>56_全体</v>
          </cell>
          <cell r="JN1" t="str">
            <v>57_全体</v>
          </cell>
          <cell r="JO1" t="str">
            <v>58_全体</v>
          </cell>
          <cell r="JP1" t="str">
            <v>59_全体</v>
          </cell>
          <cell r="JQ1" t="str">
            <v>60_全体</v>
          </cell>
          <cell r="JR1" t="str">
            <v>61_全体</v>
          </cell>
          <cell r="JS1" t="str">
            <v>62_全体</v>
          </cell>
          <cell r="JT1" t="str">
            <v>63_全体</v>
          </cell>
          <cell r="JU1" t="str">
            <v>64_全体</v>
          </cell>
          <cell r="JV1" t="str">
            <v>65_全体</v>
          </cell>
          <cell r="JW1" t="str">
            <v>66_全体</v>
          </cell>
          <cell r="JX1" t="str">
            <v>67_全体</v>
          </cell>
          <cell r="JY1" t="str">
            <v>68_全体</v>
          </cell>
          <cell r="JZ1" t="str">
            <v>69_全体</v>
          </cell>
          <cell r="KA1" t="str">
            <v>70_全体</v>
          </cell>
          <cell r="KB1" t="str">
            <v>71_全体</v>
          </cell>
          <cell r="KC1" t="str">
            <v>72_全体</v>
          </cell>
          <cell r="KD1" t="str">
            <v>73_全体</v>
          </cell>
          <cell r="KE1" t="str">
            <v>74_全体</v>
          </cell>
          <cell r="KF1" t="str">
            <v>75_全体</v>
          </cell>
          <cell r="KG1" t="str">
            <v>76_全体</v>
          </cell>
          <cell r="KH1" t="str">
            <v>77_全体</v>
          </cell>
          <cell r="KI1" t="str">
            <v>78_全体</v>
          </cell>
          <cell r="KJ1" t="str">
            <v>79_全体</v>
          </cell>
          <cell r="KK1" t="str">
            <v>80_全体</v>
          </cell>
          <cell r="KL1" t="str">
            <v>81_全体</v>
          </cell>
          <cell r="KM1" t="str">
            <v>82_全体</v>
          </cell>
          <cell r="KN1" t="str">
            <v>83_全体</v>
          </cell>
          <cell r="KO1" t="str">
            <v>84_全体</v>
          </cell>
          <cell r="KP1" t="str">
            <v>85_全体</v>
          </cell>
          <cell r="KQ1" t="str">
            <v>86_全体</v>
          </cell>
          <cell r="KR1" t="str">
            <v>87_全体</v>
          </cell>
          <cell r="KS1" t="str">
            <v>88_全体</v>
          </cell>
          <cell r="KT1" t="str">
            <v>89_全体</v>
          </cell>
          <cell r="KU1" t="str">
            <v>90_全体</v>
          </cell>
          <cell r="KV1" t="str">
            <v>91_全体</v>
          </cell>
          <cell r="KW1" t="str">
            <v>92_全体</v>
          </cell>
          <cell r="KX1" t="str">
            <v>93_全体</v>
          </cell>
          <cell r="KY1" t="str">
            <v>94_全体</v>
          </cell>
          <cell r="KZ1" t="str">
            <v>95_全体</v>
          </cell>
          <cell r="LA1" t="str">
            <v>96_全体</v>
          </cell>
          <cell r="LB1" t="str">
            <v>97_全体</v>
          </cell>
          <cell r="LC1" t="str">
            <v>98_全体</v>
          </cell>
          <cell r="LD1" t="str">
            <v>99_全体</v>
          </cell>
          <cell r="LE1" t="str">
            <v>100_全体</v>
          </cell>
          <cell r="LF1" t="str">
            <v>101_全体</v>
          </cell>
          <cell r="LG1" t="str">
            <v>102_全体</v>
          </cell>
          <cell r="LH1" t="str">
            <v>103_全体</v>
          </cell>
          <cell r="LI1" t="str">
            <v>104_全体</v>
          </cell>
          <cell r="LJ1" t="str">
            <v>105以上_全体</v>
          </cell>
          <cell r="LK1" t="str">
            <v>106_全体</v>
          </cell>
          <cell r="LL1" t="str">
            <v>年代0-4_男</v>
          </cell>
          <cell r="LM1" t="str">
            <v>年代5-9_男</v>
          </cell>
          <cell r="LN1" t="str">
            <v>年代10-14_男</v>
          </cell>
          <cell r="LO1" t="str">
            <v>年代15-19_男</v>
          </cell>
          <cell r="LP1" t="str">
            <v>年代20-24_男</v>
          </cell>
          <cell r="LQ1" t="str">
            <v>年代25-29_男</v>
          </cell>
          <cell r="LR1" t="str">
            <v>年代30-34_男</v>
          </cell>
          <cell r="LS1" t="str">
            <v>年代35-39_男</v>
          </cell>
          <cell r="LT1" t="str">
            <v>年代40-44_男</v>
          </cell>
          <cell r="LU1" t="str">
            <v>年代45-49_男</v>
          </cell>
          <cell r="LV1" t="str">
            <v>年代50-54_男</v>
          </cell>
          <cell r="LW1" t="str">
            <v>年代55-59_男</v>
          </cell>
          <cell r="LX1" t="str">
            <v>年代60-64_男</v>
          </cell>
          <cell r="LY1" t="str">
            <v>年代65-69_男</v>
          </cell>
          <cell r="LZ1" t="str">
            <v>年代70-74_男</v>
          </cell>
          <cell r="MA1" t="str">
            <v>年代75-79_男</v>
          </cell>
          <cell r="MB1" t="str">
            <v>年代80-84_男</v>
          </cell>
          <cell r="MC1" t="str">
            <v>年代85-89_男</v>
          </cell>
          <cell r="MD1" t="str">
            <v>年代90-94_男</v>
          </cell>
          <cell r="ME1" t="str">
            <v>年代95-99_男</v>
          </cell>
          <cell r="MF1" t="str">
            <v>年代100-104_男</v>
          </cell>
          <cell r="MG1" t="str">
            <v>年代0-4_女</v>
          </cell>
          <cell r="MH1" t="str">
            <v>年代5-9_女</v>
          </cell>
          <cell r="MI1" t="str">
            <v>年代10-14_女</v>
          </cell>
          <cell r="MJ1" t="str">
            <v>年代15-19_女</v>
          </cell>
          <cell r="MK1" t="str">
            <v>年代20-24_女</v>
          </cell>
          <cell r="ML1" t="str">
            <v>年代25-29_女</v>
          </cell>
          <cell r="MM1" t="str">
            <v>年代30-34_女</v>
          </cell>
          <cell r="MN1" t="str">
            <v>年代35-39_女</v>
          </cell>
          <cell r="MO1" t="str">
            <v>年代40-44_女</v>
          </cell>
          <cell r="MP1" t="str">
            <v>年代45-49_女</v>
          </cell>
          <cell r="MQ1" t="str">
            <v>年代50-54_女</v>
          </cell>
          <cell r="MR1" t="str">
            <v>年代55-59_女</v>
          </cell>
          <cell r="MS1" t="str">
            <v>年代60-64_女</v>
          </cell>
          <cell r="MT1" t="str">
            <v>年代65-69_女</v>
          </cell>
          <cell r="MU1" t="str">
            <v>年代70-74_女</v>
          </cell>
          <cell r="MV1" t="str">
            <v>年代75-79_女</v>
          </cell>
          <cell r="MW1" t="str">
            <v>年代80-84_女</v>
          </cell>
          <cell r="MX1" t="str">
            <v>年代85-89_女</v>
          </cell>
          <cell r="MY1" t="str">
            <v>年代90-94_女</v>
          </cell>
          <cell r="MZ1" t="str">
            <v>年代95-99_女</v>
          </cell>
          <cell r="NA1" t="str">
            <v>年代100-104_女</v>
          </cell>
          <cell r="NB1" t="str">
            <v>年代105-109_女</v>
          </cell>
          <cell r="NC1" t="str">
            <v>年代0-4_全体</v>
          </cell>
          <cell r="ND1" t="str">
            <v>年代5-9_全体</v>
          </cell>
          <cell r="NE1" t="str">
            <v>年代10-14_全体</v>
          </cell>
          <cell r="NF1" t="str">
            <v>年代15-19_全体</v>
          </cell>
          <cell r="NG1" t="str">
            <v>年代20-24_全体</v>
          </cell>
          <cell r="NH1" t="str">
            <v>年代25-29_全体</v>
          </cell>
          <cell r="NI1" t="str">
            <v>年代30-34_全体</v>
          </cell>
          <cell r="NJ1" t="str">
            <v>年代35-39_全体</v>
          </cell>
          <cell r="NK1" t="str">
            <v>年代40-44_全体</v>
          </cell>
          <cell r="NL1" t="str">
            <v>年代45-49_全体</v>
          </cell>
          <cell r="NM1" t="str">
            <v>年代50-54_全体</v>
          </cell>
          <cell r="NN1" t="str">
            <v>年代55-59_全体</v>
          </cell>
          <cell r="NO1" t="str">
            <v>年代60-64_全体</v>
          </cell>
          <cell r="NP1" t="str">
            <v>年代65-69_全体</v>
          </cell>
          <cell r="NQ1" t="str">
            <v>年代70-74_全体</v>
          </cell>
          <cell r="NR1" t="str">
            <v>年代75-79_全体</v>
          </cell>
          <cell r="NS1" t="str">
            <v>年代80-84_全体</v>
          </cell>
          <cell r="NT1" t="str">
            <v>年代85-89_全体</v>
          </cell>
          <cell r="NU1" t="str">
            <v>年代90-94_全体</v>
          </cell>
          <cell r="NV1" t="str">
            <v>年代95-99_全体</v>
          </cell>
          <cell r="NW1" t="str">
            <v>年代100-104_全体</v>
          </cell>
          <cell r="NX1" t="str">
            <v>年代105-109_全体</v>
          </cell>
          <cell r="NY1" t="str">
            <v>65以上_男</v>
          </cell>
          <cell r="NZ1" t="str">
            <v>65以上_女</v>
          </cell>
          <cell r="OA1" t="str">
            <v>65以上_全体</v>
          </cell>
          <cell r="OB1" t="str">
            <v>65以上_割合</v>
          </cell>
          <cell r="OC1" t="str">
            <v>合計_男</v>
          </cell>
          <cell r="OD1" t="str">
            <v>合計_女</v>
          </cell>
          <cell r="OE1" t="str">
            <v>合計_総合計</v>
          </cell>
          <cell r="OF1" t="str">
            <v>世帯数</v>
          </cell>
          <cell r="OG1" t="str">
            <v>平均_男</v>
          </cell>
          <cell r="OH1" t="str">
            <v>平均_女</v>
          </cell>
          <cell r="OI1" t="str">
            <v>平均_全体</v>
          </cell>
          <cell r="OJ1" t="str">
            <v>作成日</v>
          </cell>
          <cell r="OK1" t="str">
            <v>集計対象</v>
          </cell>
        </row>
        <row r="2">
          <cell r="A2" t="str">
            <v>大阪府摂津市</v>
          </cell>
          <cell r="B2" t="str">
            <v>全体</v>
          </cell>
          <cell r="C2" t="str">
            <v>令和元年 5月31日</v>
          </cell>
          <cell r="D2">
            <v>400</v>
          </cell>
          <cell r="E2">
            <v>415</v>
          </cell>
          <cell r="F2">
            <v>399</v>
          </cell>
          <cell r="G2">
            <v>420</v>
          </cell>
          <cell r="H2">
            <v>334</v>
          </cell>
          <cell r="I2">
            <v>397</v>
          </cell>
          <cell r="J2">
            <v>367</v>
          </cell>
          <cell r="K2">
            <v>346</v>
          </cell>
          <cell r="L2">
            <v>376</v>
          </cell>
          <cell r="M2">
            <v>404</v>
          </cell>
          <cell r="N2">
            <v>343</v>
          </cell>
          <cell r="O2">
            <v>365</v>
          </cell>
          <cell r="P2">
            <v>384</v>
          </cell>
          <cell r="Q2">
            <v>373</v>
          </cell>
          <cell r="R2">
            <v>415</v>
          </cell>
          <cell r="S2">
            <v>397</v>
          </cell>
          <cell r="T2">
            <v>365</v>
          </cell>
          <cell r="U2">
            <v>431</v>
          </cell>
          <cell r="V2">
            <v>454</v>
          </cell>
          <cell r="W2">
            <v>461</v>
          </cell>
          <cell r="X2">
            <v>472</v>
          </cell>
          <cell r="Y2">
            <v>470</v>
          </cell>
          <cell r="Z2">
            <v>454</v>
          </cell>
          <cell r="AA2">
            <v>504</v>
          </cell>
          <cell r="AB2">
            <v>487</v>
          </cell>
          <cell r="AC2">
            <v>533</v>
          </cell>
          <cell r="AD2">
            <v>493</v>
          </cell>
          <cell r="AE2">
            <v>494</v>
          </cell>
          <cell r="AF2">
            <v>554</v>
          </cell>
          <cell r="AG2">
            <v>495</v>
          </cell>
          <cell r="AH2">
            <v>566</v>
          </cell>
          <cell r="AI2">
            <v>572</v>
          </cell>
          <cell r="AJ2">
            <v>543</v>
          </cell>
          <cell r="AK2">
            <v>543</v>
          </cell>
          <cell r="AL2">
            <v>554</v>
          </cell>
          <cell r="AM2">
            <v>576</v>
          </cell>
          <cell r="AN2">
            <v>580</v>
          </cell>
          <cell r="AO2">
            <v>566</v>
          </cell>
          <cell r="AP2">
            <v>562</v>
          </cell>
          <cell r="AQ2">
            <v>569</v>
          </cell>
          <cell r="AR2">
            <v>599</v>
          </cell>
          <cell r="AS2">
            <v>630</v>
          </cell>
          <cell r="AT2">
            <v>626</v>
          </cell>
          <cell r="AU2">
            <v>729</v>
          </cell>
          <cell r="AV2">
            <v>725</v>
          </cell>
          <cell r="AW2">
            <v>875</v>
          </cell>
          <cell r="AX2">
            <v>848</v>
          </cell>
          <cell r="AY2">
            <v>826</v>
          </cell>
          <cell r="AZ2">
            <v>736</v>
          </cell>
          <cell r="BA2">
            <v>748</v>
          </cell>
          <cell r="BB2">
            <v>681</v>
          </cell>
          <cell r="BC2">
            <v>675</v>
          </cell>
          <cell r="BD2">
            <v>614</v>
          </cell>
          <cell r="BE2">
            <v>561</v>
          </cell>
          <cell r="BF2">
            <v>515</v>
          </cell>
          <cell r="BG2">
            <v>499</v>
          </cell>
          <cell r="BH2">
            <v>481</v>
          </cell>
          <cell r="BI2">
            <v>466</v>
          </cell>
          <cell r="BJ2">
            <v>419</v>
          </cell>
          <cell r="BK2">
            <v>412</v>
          </cell>
          <cell r="BL2">
            <v>447</v>
          </cell>
          <cell r="BM2">
            <v>403</v>
          </cell>
          <cell r="BN2">
            <v>410</v>
          </cell>
          <cell r="BO2">
            <v>412</v>
          </cell>
          <cell r="BP2">
            <v>444</v>
          </cell>
          <cell r="BQ2">
            <v>413</v>
          </cell>
          <cell r="BR2">
            <v>428</v>
          </cell>
          <cell r="BS2">
            <v>503</v>
          </cell>
          <cell r="BT2">
            <v>563</v>
          </cell>
          <cell r="BU2">
            <v>644</v>
          </cell>
          <cell r="BV2">
            <v>619</v>
          </cell>
          <cell r="BW2">
            <v>714</v>
          </cell>
          <cell r="BX2">
            <v>574</v>
          </cell>
          <cell r="BY2">
            <v>335</v>
          </cell>
          <cell r="BZ2">
            <v>450</v>
          </cell>
          <cell r="CA2">
            <v>542</v>
          </cell>
          <cell r="CB2">
            <v>447</v>
          </cell>
          <cell r="CC2">
            <v>550</v>
          </cell>
          <cell r="CD2">
            <v>447</v>
          </cell>
          <cell r="CE2">
            <v>385</v>
          </cell>
          <cell r="CF2">
            <v>320</v>
          </cell>
          <cell r="CG2">
            <v>316</v>
          </cell>
          <cell r="CH2">
            <v>289</v>
          </cell>
          <cell r="CI2">
            <v>274</v>
          </cell>
          <cell r="CJ2">
            <v>196</v>
          </cell>
          <cell r="CK2">
            <v>146</v>
          </cell>
          <cell r="CL2">
            <v>133</v>
          </cell>
          <cell r="CM2">
            <v>122</v>
          </cell>
          <cell r="CN2">
            <v>95</v>
          </cell>
          <cell r="CO2">
            <v>54</v>
          </cell>
          <cell r="CP2">
            <v>61</v>
          </cell>
          <cell r="CQ2">
            <v>42</v>
          </cell>
          <cell r="CR2">
            <v>33</v>
          </cell>
          <cell r="CS2">
            <v>20</v>
          </cell>
          <cell r="CT2">
            <v>15</v>
          </cell>
          <cell r="CU2">
            <v>8</v>
          </cell>
          <cell r="CV2">
            <v>9</v>
          </cell>
          <cell r="CW2">
            <v>7</v>
          </cell>
          <cell r="CX2">
            <v>4</v>
          </cell>
          <cell r="CY2">
            <v>1</v>
          </cell>
          <cell r="CZ2">
            <v>1</v>
          </cell>
          <cell r="DA2">
            <v>0</v>
          </cell>
          <cell r="DB2">
            <v>1</v>
          </cell>
          <cell r="DC2">
            <v>1</v>
          </cell>
          <cell r="DD2">
            <v>0</v>
          </cell>
          <cell r="DE2">
            <v>0</v>
          </cell>
          <cell r="DF2">
            <v>390</v>
          </cell>
          <cell r="DG2">
            <v>391</v>
          </cell>
          <cell r="DH2">
            <v>358</v>
          </cell>
          <cell r="DI2">
            <v>370</v>
          </cell>
          <cell r="DJ2">
            <v>378</v>
          </cell>
          <cell r="DK2">
            <v>362</v>
          </cell>
          <cell r="DL2">
            <v>317</v>
          </cell>
          <cell r="DM2">
            <v>384</v>
          </cell>
          <cell r="DN2">
            <v>352</v>
          </cell>
          <cell r="DO2">
            <v>359</v>
          </cell>
          <cell r="DP2">
            <v>359</v>
          </cell>
          <cell r="DQ2">
            <v>380</v>
          </cell>
          <cell r="DR2">
            <v>338</v>
          </cell>
          <cell r="DS2">
            <v>370</v>
          </cell>
          <cell r="DT2">
            <v>350</v>
          </cell>
          <cell r="DU2">
            <v>379</v>
          </cell>
          <cell r="DV2">
            <v>376</v>
          </cell>
          <cell r="DW2">
            <v>410</v>
          </cell>
          <cell r="DX2">
            <v>375</v>
          </cell>
          <cell r="DY2">
            <v>446</v>
          </cell>
          <cell r="DZ2">
            <v>429</v>
          </cell>
          <cell r="EA2">
            <v>430</v>
          </cell>
          <cell r="EB2">
            <v>472</v>
          </cell>
          <cell r="EC2">
            <v>468</v>
          </cell>
          <cell r="ED2">
            <v>442</v>
          </cell>
          <cell r="EE2">
            <v>445</v>
          </cell>
          <cell r="EF2">
            <v>469</v>
          </cell>
          <cell r="EG2">
            <v>463</v>
          </cell>
          <cell r="EH2">
            <v>522</v>
          </cell>
          <cell r="EI2">
            <v>515</v>
          </cell>
          <cell r="EJ2">
            <v>533</v>
          </cell>
          <cell r="EK2">
            <v>538</v>
          </cell>
          <cell r="EL2">
            <v>528</v>
          </cell>
          <cell r="EM2">
            <v>530</v>
          </cell>
          <cell r="EN2">
            <v>504</v>
          </cell>
          <cell r="EO2">
            <v>541</v>
          </cell>
          <cell r="EP2">
            <v>555</v>
          </cell>
          <cell r="EQ2">
            <v>543</v>
          </cell>
          <cell r="ER2">
            <v>523</v>
          </cell>
          <cell r="ES2">
            <v>552</v>
          </cell>
          <cell r="ET2">
            <v>553</v>
          </cell>
          <cell r="EU2">
            <v>601</v>
          </cell>
          <cell r="EV2">
            <v>590</v>
          </cell>
          <cell r="EW2">
            <v>648</v>
          </cell>
          <cell r="EX2">
            <v>698</v>
          </cell>
          <cell r="EY2">
            <v>749</v>
          </cell>
          <cell r="EZ2">
            <v>783</v>
          </cell>
          <cell r="FA2">
            <v>733</v>
          </cell>
          <cell r="FB2">
            <v>708</v>
          </cell>
          <cell r="FC2">
            <v>662</v>
          </cell>
          <cell r="FD2">
            <v>603</v>
          </cell>
          <cell r="FE2">
            <v>606</v>
          </cell>
          <cell r="FF2">
            <v>518</v>
          </cell>
          <cell r="FG2">
            <v>457</v>
          </cell>
          <cell r="FH2">
            <v>510</v>
          </cell>
          <cell r="FI2">
            <v>482</v>
          </cell>
          <cell r="FJ2">
            <v>419</v>
          </cell>
          <cell r="FK2">
            <v>430</v>
          </cell>
          <cell r="FL2">
            <v>408</v>
          </cell>
          <cell r="FM2">
            <v>401</v>
          </cell>
          <cell r="FN2">
            <v>402</v>
          </cell>
          <cell r="FO2">
            <v>398</v>
          </cell>
          <cell r="FP2">
            <v>418</v>
          </cell>
          <cell r="FQ2">
            <v>415</v>
          </cell>
          <cell r="FR2">
            <v>459</v>
          </cell>
          <cell r="FS2">
            <v>461</v>
          </cell>
          <cell r="FT2">
            <v>496</v>
          </cell>
          <cell r="FU2">
            <v>555</v>
          </cell>
          <cell r="FV2">
            <v>599</v>
          </cell>
          <cell r="FW2">
            <v>716</v>
          </cell>
          <cell r="FX2">
            <v>776</v>
          </cell>
          <cell r="FY2">
            <v>782</v>
          </cell>
          <cell r="FZ2">
            <v>652</v>
          </cell>
          <cell r="GA2">
            <v>422</v>
          </cell>
          <cell r="GB2">
            <v>557</v>
          </cell>
          <cell r="GC2">
            <v>599</v>
          </cell>
          <cell r="GD2">
            <v>661</v>
          </cell>
          <cell r="GE2">
            <v>610</v>
          </cell>
          <cell r="GF2">
            <v>549</v>
          </cell>
          <cell r="GG2">
            <v>451</v>
          </cell>
          <cell r="GH2">
            <v>372</v>
          </cell>
          <cell r="GI2">
            <v>386</v>
          </cell>
          <cell r="GJ2">
            <v>348</v>
          </cell>
          <cell r="GK2">
            <v>328</v>
          </cell>
          <cell r="GL2">
            <v>260</v>
          </cell>
          <cell r="GM2">
            <v>283</v>
          </cell>
          <cell r="GN2">
            <v>236</v>
          </cell>
          <cell r="GO2">
            <v>196</v>
          </cell>
          <cell r="GP2">
            <v>151</v>
          </cell>
          <cell r="GQ2">
            <v>159</v>
          </cell>
          <cell r="GR2">
            <v>140</v>
          </cell>
          <cell r="GS2">
            <v>96</v>
          </cell>
          <cell r="GT2">
            <v>104</v>
          </cell>
          <cell r="GU2">
            <v>74</v>
          </cell>
          <cell r="GV2">
            <v>60</v>
          </cell>
          <cell r="GW2">
            <v>56</v>
          </cell>
          <cell r="GX2">
            <v>29</v>
          </cell>
          <cell r="GY2">
            <v>32</v>
          </cell>
          <cell r="GZ2">
            <v>21</v>
          </cell>
          <cell r="HA2">
            <v>18</v>
          </cell>
          <cell r="HB2">
            <v>5</v>
          </cell>
          <cell r="HC2">
            <v>3</v>
          </cell>
          <cell r="HD2">
            <v>2</v>
          </cell>
          <cell r="HE2">
            <v>4</v>
          </cell>
          <cell r="HF2">
            <v>3</v>
          </cell>
          <cell r="HG2">
            <v>0</v>
          </cell>
          <cell r="HH2">
            <v>1</v>
          </cell>
          <cell r="HI2">
            <v>790</v>
          </cell>
          <cell r="HJ2">
            <v>806</v>
          </cell>
          <cell r="HK2">
            <v>757</v>
          </cell>
          <cell r="HL2">
            <v>790</v>
          </cell>
          <cell r="HM2">
            <v>712</v>
          </cell>
          <cell r="HN2">
            <v>759</v>
          </cell>
          <cell r="HO2">
            <v>684</v>
          </cell>
          <cell r="HP2">
            <v>730</v>
          </cell>
          <cell r="HQ2">
            <v>728</v>
          </cell>
          <cell r="HR2">
            <v>763</v>
          </cell>
          <cell r="HS2">
            <v>702</v>
          </cell>
          <cell r="HT2">
            <v>745</v>
          </cell>
          <cell r="HU2">
            <v>722</v>
          </cell>
          <cell r="HV2">
            <v>743</v>
          </cell>
          <cell r="HW2">
            <v>765</v>
          </cell>
          <cell r="HX2">
            <v>776</v>
          </cell>
          <cell r="HY2">
            <v>741</v>
          </cell>
          <cell r="HZ2">
            <v>841</v>
          </cell>
          <cell r="IA2">
            <v>829</v>
          </cell>
          <cell r="IB2">
            <v>907</v>
          </cell>
          <cell r="IC2">
            <v>901</v>
          </cell>
          <cell r="ID2">
            <v>900</v>
          </cell>
          <cell r="IE2">
            <v>926</v>
          </cell>
          <cell r="IF2">
            <v>972</v>
          </cell>
          <cell r="IG2">
            <v>929</v>
          </cell>
          <cell r="IH2">
            <v>978</v>
          </cell>
          <cell r="II2">
            <v>962</v>
          </cell>
          <cell r="IJ2">
            <v>957</v>
          </cell>
          <cell r="IK2">
            <v>1076</v>
          </cell>
          <cell r="IL2">
            <v>1010</v>
          </cell>
          <cell r="IM2">
            <v>1099</v>
          </cell>
          <cell r="IN2">
            <v>1110</v>
          </cell>
          <cell r="IO2">
            <v>1071</v>
          </cell>
          <cell r="IP2">
            <v>1073</v>
          </cell>
          <cell r="IQ2">
            <v>1058</v>
          </cell>
          <cell r="IR2">
            <v>1117</v>
          </cell>
          <cell r="IS2">
            <v>1135</v>
          </cell>
          <cell r="IT2">
            <v>1109</v>
          </cell>
          <cell r="IU2">
            <v>1085</v>
          </cell>
          <cell r="IV2">
            <v>1121</v>
          </cell>
          <cell r="IW2">
            <v>1152</v>
          </cell>
          <cell r="IX2">
            <v>1231</v>
          </cell>
          <cell r="IY2">
            <v>1216</v>
          </cell>
          <cell r="IZ2">
            <v>1377</v>
          </cell>
          <cell r="JA2">
            <v>1423</v>
          </cell>
          <cell r="JB2">
            <v>1624</v>
          </cell>
          <cell r="JC2">
            <v>1631</v>
          </cell>
          <cell r="JD2">
            <v>1559</v>
          </cell>
          <cell r="JE2">
            <v>1444</v>
          </cell>
          <cell r="JF2">
            <v>1410</v>
          </cell>
          <cell r="JG2">
            <v>1284</v>
          </cell>
          <cell r="JH2">
            <v>1281</v>
          </cell>
          <cell r="JI2">
            <v>1132</v>
          </cell>
          <cell r="JJ2">
            <v>1018</v>
          </cell>
          <cell r="JK2">
            <v>1025</v>
          </cell>
          <cell r="JL2">
            <v>981</v>
          </cell>
          <cell r="JM2">
            <v>900</v>
          </cell>
          <cell r="JN2">
            <v>896</v>
          </cell>
          <cell r="JO2">
            <v>827</v>
          </cell>
          <cell r="JP2">
            <v>813</v>
          </cell>
          <cell r="JQ2">
            <v>849</v>
          </cell>
          <cell r="JR2">
            <v>801</v>
          </cell>
          <cell r="JS2">
            <v>828</v>
          </cell>
          <cell r="JT2">
            <v>827</v>
          </cell>
          <cell r="JU2">
            <v>903</v>
          </cell>
          <cell r="JV2">
            <v>874</v>
          </cell>
          <cell r="JW2">
            <v>924</v>
          </cell>
          <cell r="JX2">
            <v>1058</v>
          </cell>
          <cell r="JY2">
            <v>1162</v>
          </cell>
          <cell r="JZ2">
            <v>1360</v>
          </cell>
          <cell r="KA2">
            <v>1395</v>
          </cell>
          <cell r="KB2">
            <v>1496</v>
          </cell>
          <cell r="KC2">
            <v>1226</v>
          </cell>
          <cell r="KD2">
            <v>757</v>
          </cell>
          <cell r="KE2">
            <v>1007</v>
          </cell>
          <cell r="KF2">
            <v>1141</v>
          </cell>
          <cell r="KG2">
            <v>1108</v>
          </cell>
          <cell r="KH2">
            <v>1160</v>
          </cell>
          <cell r="KI2">
            <v>996</v>
          </cell>
          <cell r="KJ2">
            <v>836</v>
          </cell>
          <cell r="KK2">
            <v>692</v>
          </cell>
          <cell r="KL2">
            <v>702</v>
          </cell>
          <cell r="KM2">
            <v>637</v>
          </cell>
          <cell r="KN2">
            <v>602</v>
          </cell>
          <cell r="KO2">
            <v>456</v>
          </cell>
          <cell r="KP2">
            <v>429</v>
          </cell>
          <cell r="KQ2">
            <v>369</v>
          </cell>
          <cell r="KR2">
            <v>318</v>
          </cell>
          <cell r="KS2">
            <v>246</v>
          </cell>
          <cell r="KT2">
            <v>213</v>
          </cell>
          <cell r="KU2">
            <v>201</v>
          </cell>
          <cell r="KV2">
            <v>138</v>
          </cell>
          <cell r="KW2">
            <v>137</v>
          </cell>
          <cell r="KX2">
            <v>94</v>
          </cell>
          <cell r="KY2">
            <v>75</v>
          </cell>
          <cell r="KZ2">
            <v>64</v>
          </cell>
          <cell r="LA2">
            <v>38</v>
          </cell>
          <cell r="LB2">
            <v>39</v>
          </cell>
          <cell r="LC2">
            <v>25</v>
          </cell>
          <cell r="LD2">
            <v>19</v>
          </cell>
          <cell r="LE2">
            <v>6</v>
          </cell>
          <cell r="LF2">
            <v>3</v>
          </cell>
          <cell r="LG2">
            <v>3</v>
          </cell>
          <cell r="LH2">
            <v>5</v>
          </cell>
          <cell r="LI2">
            <v>3</v>
          </cell>
          <cell r="LJ2">
            <v>0</v>
          </cell>
          <cell r="LK2">
            <v>1</v>
          </cell>
          <cell r="LL2">
            <v>1968</v>
          </cell>
          <cell r="LM2">
            <v>1890</v>
          </cell>
          <cell r="LN2">
            <v>1880</v>
          </cell>
          <cell r="LO2">
            <v>2108</v>
          </cell>
          <cell r="LP2">
            <v>2387</v>
          </cell>
          <cell r="LQ2">
            <v>2569</v>
          </cell>
          <cell r="LR2">
            <v>2778</v>
          </cell>
          <cell r="LS2">
            <v>2853</v>
          </cell>
          <cell r="LT2">
            <v>3309</v>
          </cell>
          <cell r="LU2">
            <v>4033</v>
          </cell>
          <cell r="LV2">
            <v>3046</v>
          </cell>
          <cell r="LW2">
            <v>2277</v>
          </cell>
          <cell r="LX2">
            <v>2116</v>
          </cell>
          <cell r="LY2">
            <v>2551</v>
          </cell>
          <cell r="LZ2">
            <v>2692</v>
          </cell>
          <cell r="MA2">
            <v>2371</v>
          </cell>
          <cell r="MB2">
            <v>1395</v>
          </cell>
          <cell r="MC2">
            <v>550</v>
          </cell>
          <cell r="MD2">
            <v>171</v>
          </cell>
          <cell r="ME2">
            <v>29</v>
          </cell>
          <cell r="MF2">
            <v>3</v>
          </cell>
          <cell r="MG2">
            <v>1887</v>
          </cell>
          <cell r="MH2">
            <v>1774</v>
          </cell>
          <cell r="MI2">
            <v>1797</v>
          </cell>
          <cell r="MJ2">
            <v>1986</v>
          </cell>
          <cell r="MK2">
            <v>2241</v>
          </cell>
          <cell r="ML2">
            <v>2414</v>
          </cell>
          <cell r="MM2">
            <v>2633</v>
          </cell>
          <cell r="MN2">
            <v>2714</v>
          </cell>
          <cell r="MO2">
            <v>3090</v>
          </cell>
          <cell r="MP2">
            <v>3635</v>
          </cell>
          <cell r="MQ2">
            <v>2694</v>
          </cell>
          <cell r="MR2">
            <v>2140</v>
          </cell>
          <cell r="MS2">
            <v>2092</v>
          </cell>
          <cell r="MT2">
            <v>2827</v>
          </cell>
          <cell r="MU2">
            <v>3189</v>
          </cell>
          <cell r="MV2">
            <v>2870</v>
          </cell>
          <cell r="MW2">
            <v>1694</v>
          </cell>
          <cell r="MX2">
            <v>1025</v>
          </cell>
          <cell r="MY2">
            <v>474</v>
          </cell>
          <cell r="MZ2">
            <v>156</v>
          </cell>
          <cell r="NA2">
            <v>17</v>
          </cell>
          <cell r="NB2">
            <v>1</v>
          </cell>
          <cell r="NC2">
            <v>3855</v>
          </cell>
          <cell r="ND2">
            <v>3664</v>
          </cell>
          <cell r="NE2">
            <v>3677</v>
          </cell>
          <cell r="NF2">
            <v>4094</v>
          </cell>
          <cell r="NG2">
            <v>4628</v>
          </cell>
          <cell r="NH2">
            <v>4983</v>
          </cell>
          <cell r="NI2">
            <v>5411</v>
          </cell>
          <cell r="NJ2">
            <v>5567</v>
          </cell>
          <cell r="NK2">
            <v>6399</v>
          </cell>
          <cell r="NL2">
            <v>7668</v>
          </cell>
          <cell r="NM2">
            <v>5740</v>
          </cell>
          <cell r="NN2">
            <v>4417</v>
          </cell>
          <cell r="NO2">
            <v>4208</v>
          </cell>
          <cell r="NP2">
            <v>5378</v>
          </cell>
          <cell r="NQ2">
            <v>5881</v>
          </cell>
          <cell r="NR2">
            <v>5241</v>
          </cell>
          <cell r="NS2">
            <v>3089</v>
          </cell>
          <cell r="NT2">
            <v>1575</v>
          </cell>
          <cell r="NU2">
            <v>645</v>
          </cell>
          <cell r="NV2">
            <v>185</v>
          </cell>
          <cell r="NW2">
            <v>20</v>
          </cell>
          <cell r="NX2">
            <v>1</v>
          </cell>
          <cell r="NY2">
            <v>9762</v>
          </cell>
          <cell r="NZ2">
            <v>12253</v>
          </cell>
          <cell r="OA2">
            <v>22015</v>
          </cell>
          <cell r="OB2">
            <v>25.5</v>
          </cell>
          <cell r="OC2">
            <v>42976</v>
          </cell>
          <cell r="OD2">
            <v>43350</v>
          </cell>
          <cell r="OE2">
            <v>86326</v>
          </cell>
          <cell r="OF2">
            <v>41064</v>
          </cell>
          <cell r="OG2">
            <v>43</v>
          </cell>
          <cell r="OH2">
            <v>46</v>
          </cell>
          <cell r="OI2">
            <v>45</v>
          </cell>
          <cell r="OJ2" t="str">
            <v>令和元年 6月 4日</v>
          </cell>
          <cell r="OK2" t="str">
            <v>※外国人を含めた集計です。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操作方法"/>
      <sheetName val="データ貼り付けシート"/>
      <sheetName val="印刷用シート"/>
      <sheetName val="ホームページ用シート"/>
    </sheetNames>
    <sheetDataSet>
      <sheetData sheetId="0"/>
      <sheetData sheetId="1">
        <row r="1">
          <cell r="A1" t="str">
            <v>自治体名</v>
          </cell>
          <cell r="B1" t="str">
            <v>集計区分</v>
          </cell>
          <cell r="C1" t="str">
            <v>基準日</v>
          </cell>
          <cell r="D1" t="str">
            <v>0_男</v>
          </cell>
          <cell r="E1" t="str">
            <v>1_男</v>
          </cell>
          <cell r="F1" t="str">
            <v>2_男</v>
          </cell>
          <cell r="G1" t="str">
            <v>3_男</v>
          </cell>
          <cell r="H1" t="str">
            <v>4_男</v>
          </cell>
          <cell r="I1" t="str">
            <v>5_男</v>
          </cell>
          <cell r="J1" t="str">
            <v>6_男</v>
          </cell>
          <cell r="K1" t="str">
            <v>7_男</v>
          </cell>
          <cell r="L1" t="str">
            <v>8_男</v>
          </cell>
          <cell r="M1" t="str">
            <v>9_男</v>
          </cell>
          <cell r="N1" t="str">
            <v>10_男</v>
          </cell>
          <cell r="O1" t="str">
            <v>11_男</v>
          </cell>
          <cell r="P1" t="str">
            <v>12_男</v>
          </cell>
          <cell r="Q1" t="str">
            <v>13_男</v>
          </cell>
          <cell r="R1" t="str">
            <v>14_男</v>
          </cell>
          <cell r="S1" t="str">
            <v>15_男</v>
          </cell>
          <cell r="T1" t="str">
            <v>16_男</v>
          </cell>
          <cell r="U1" t="str">
            <v>17_男</v>
          </cell>
          <cell r="V1" t="str">
            <v>18_男</v>
          </cell>
          <cell r="W1" t="str">
            <v>19_男</v>
          </cell>
          <cell r="X1" t="str">
            <v>20_男</v>
          </cell>
          <cell r="Y1" t="str">
            <v>21_男</v>
          </cell>
          <cell r="Z1" t="str">
            <v>22_男</v>
          </cell>
          <cell r="AA1" t="str">
            <v>23_男</v>
          </cell>
          <cell r="AB1" t="str">
            <v>24_男</v>
          </cell>
          <cell r="AC1" t="str">
            <v>25_男</v>
          </cell>
          <cell r="AD1" t="str">
            <v>26_男</v>
          </cell>
          <cell r="AE1" t="str">
            <v>27_男</v>
          </cell>
          <cell r="AF1" t="str">
            <v>28_男</v>
          </cell>
          <cell r="AG1" t="str">
            <v>29_男</v>
          </cell>
          <cell r="AH1" t="str">
            <v>30_男</v>
          </cell>
          <cell r="AI1" t="str">
            <v>31_男</v>
          </cell>
          <cell r="AJ1" t="str">
            <v>32_男</v>
          </cell>
          <cell r="AK1" t="str">
            <v>33_男</v>
          </cell>
          <cell r="AL1" t="str">
            <v>34_男</v>
          </cell>
          <cell r="AM1" t="str">
            <v>35_男</v>
          </cell>
          <cell r="AN1" t="str">
            <v>36_男</v>
          </cell>
          <cell r="AO1" t="str">
            <v>37_男</v>
          </cell>
          <cell r="AP1" t="str">
            <v>38_男</v>
          </cell>
          <cell r="AQ1" t="str">
            <v>39_男</v>
          </cell>
          <cell r="AR1" t="str">
            <v>40_男</v>
          </cell>
          <cell r="AS1" t="str">
            <v>41_男</v>
          </cell>
          <cell r="AT1" t="str">
            <v>42_男</v>
          </cell>
          <cell r="AU1" t="str">
            <v>43_男</v>
          </cell>
          <cell r="AV1" t="str">
            <v>44_男</v>
          </cell>
          <cell r="AW1" t="str">
            <v>45_男</v>
          </cell>
          <cell r="AX1" t="str">
            <v>46_男</v>
          </cell>
          <cell r="AY1" t="str">
            <v>47_男</v>
          </cell>
          <cell r="AZ1" t="str">
            <v>48_男</v>
          </cell>
          <cell r="BA1" t="str">
            <v>49_男</v>
          </cell>
          <cell r="BB1" t="str">
            <v>50_男</v>
          </cell>
          <cell r="BC1" t="str">
            <v>51_男</v>
          </cell>
          <cell r="BD1" t="str">
            <v>52_男</v>
          </cell>
          <cell r="BE1" t="str">
            <v>53_男</v>
          </cell>
          <cell r="BF1" t="str">
            <v>54_男</v>
          </cell>
          <cell r="BG1" t="str">
            <v>55_男</v>
          </cell>
          <cell r="BH1" t="str">
            <v>56_男</v>
          </cell>
          <cell r="BI1" t="str">
            <v>57_男</v>
          </cell>
          <cell r="BJ1" t="str">
            <v>58_男</v>
          </cell>
          <cell r="BK1" t="str">
            <v>59_男</v>
          </cell>
          <cell r="BL1" t="str">
            <v>60_男</v>
          </cell>
          <cell r="BM1" t="str">
            <v>61_男</v>
          </cell>
          <cell r="BN1" t="str">
            <v>62_男</v>
          </cell>
          <cell r="BO1" t="str">
            <v>63_男</v>
          </cell>
          <cell r="BP1" t="str">
            <v>64_男</v>
          </cell>
          <cell r="BQ1" t="str">
            <v>65_男</v>
          </cell>
          <cell r="BR1" t="str">
            <v>66_男</v>
          </cell>
          <cell r="BS1" t="str">
            <v>67_男</v>
          </cell>
          <cell r="BT1" t="str">
            <v>68_男</v>
          </cell>
          <cell r="BU1" t="str">
            <v>69_男</v>
          </cell>
          <cell r="BV1" t="str">
            <v>70_男</v>
          </cell>
          <cell r="BW1" t="str">
            <v>71_男</v>
          </cell>
          <cell r="BX1" t="str">
            <v>72_男</v>
          </cell>
          <cell r="BY1" t="str">
            <v>73_男</v>
          </cell>
          <cell r="BZ1" t="str">
            <v>74_男</v>
          </cell>
          <cell r="CA1" t="str">
            <v>75_男</v>
          </cell>
          <cell r="CB1" t="str">
            <v>76_男</v>
          </cell>
          <cell r="CC1" t="str">
            <v>77_男</v>
          </cell>
          <cell r="CD1" t="str">
            <v>78_男</v>
          </cell>
          <cell r="CE1" t="str">
            <v>79_男</v>
          </cell>
          <cell r="CF1" t="str">
            <v>80_男</v>
          </cell>
          <cell r="CG1" t="str">
            <v>81_男</v>
          </cell>
          <cell r="CH1" t="str">
            <v>82_男</v>
          </cell>
          <cell r="CI1" t="str">
            <v>83_男</v>
          </cell>
          <cell r="CJ1" t="str">
            <v>84_男</v>
          </cell>
          <cell r="CK1" t="str">
            <v>85_男</v>
          </cell>
          <cell r="CL1" t="str">
            <v>86_男</v>
          </cell>
          <cell r="CM1" t="str">
            <v>87_男</v>
          </cell>
          <cell r="CN1" t="str">
            <v>88_男</v>
          </cell>
          <cell r="CO1" t="str">
            <v>89_男</v>
          </cell>
          <cell r="CP1" t="str">
            <v>90_男</v>
          </cell>
          <cell r="CQ1" t="str">
            <v>91_男</v>
          </cell>
          <cell r="CR1" t="str">
            <v>92_男</v>
          </cell>
          <cell r="CS1" t="str">
            <v>93_男</v>
          </cell>
          <cell r="CT1" t="str">
            <v>94_男</v>
          </cell>
          <cell r="CU1" t="str">
            <v>95_男</v>
          </cell>
          <cell r="CV1" t="str">
            <v>96_男</v>
          </cell>
          <cell r="CW1" t="str">
            <v>97_男</v>
          </cell>
          <cell r="CX1" t="str">
            <v>98_男</v>
          </cell>
          <cell r="CY1" t="str">
            <v>99_男</v>
          </cell>
          <cell r="CZ1" t="str">
            <v>100_男</v>
          </cell>
          <cell r="DA1" t="str">
            <v>101_男</v>
          </cell>
          <cell r="DB1" t="str">
            <v>102_男</v>
          </cell>
          <cell r="DC1" t="str">
            <v>103_男</v>
          </cell>
          <cell r="DD1" t="str">
            <v>104_男</v>
          </cell>
          <cell r="DE1" t="str">
            <v>105以上_男</v>
          </cell>
          <cell r="DF1" t="str">
            <v>0_女</v>
          </cell>
          <cell r="DG1" t="str">
            <v>1_女</v>
          </cell>
          <cell r="DH1" t="str">
            <v>2_女</v>
          </cell>
          <cell r="DI1" t="str">
            <v>3_女</v>
          </cell>
          <cell r="DJ1" t="str">
            <v>4_女</v>
          </cell>
          <cell r="DK1" t="str">
            <v>5_女</v>
          </cell>
          <cell r="DL1" t="str">
            <v>6_女</v>
          </cell>
          <cell r="DM1" t="str">
            <v>7_女</v>
          </cell>
          <cell r="DN1" t="str">
            <v>8_女</v>
          </cell>
          <cell r="DO1" t="str">
            <v>9_女</v>
          </cell>
          <cell r="DP1" t="str">
            <v>10_女</v>
          </cell>
          <cell r="DQ1" t="str">
            <v>11_女</v>
          </cell>
          <cell r="DR1" t="str">
            <v>12_女</v>
          </cell>
          <cell r="DS1" t="str">
            <v>13_女</v>
          </cell>
          <cell r="DT1" t="str">
            <v>14_女</v>
          </cell>
          <cell r="DU1" t="str">
            <v>15_女</v>
          </cell>
          <cell r="DV1" t="str">
            <v>16_女</v>
          </cell>
          <cell r="DW1" t="str">
            <v>17_女</v>
          </cell>
          <cell r="DX1" t="str">
            <v>18_女</v>
          </cell>
          <cell r="DY1" t="str">
            <v>19_女</v>
          </cell>
          <cell r="DZ1" t="str">
            <v>20_女</v>
          </cell>
          <cell r="EA1" t="str">
            <v>21_女</v>
          </cell>
          <cell r="EB1" t="str">
            <v>22_女</v>
          </cell>
          <cell r="EC1" t="str">
            <v>23_女</v>
          </cell>
          <cell r="ED1" t="str">
            <v>24_女</v>
          </cell>
          <cell r="EE1" t="str">
            <v>25_女</v>
          </cell>
          <cell r="EF1" t="str">
            <v>26_女</v>
          </cell>
          <cell r="EG1" t="str">
            <v>27_女</v>
          </cell>
          <cell r="EH1" t="str">
            <v>28_女</v>
          </cell>
          <cell r="EI1" t="str">
            <v>29_女</v>
          </cell>
          <cell r="EJ1" t="str">
            <v>30_女</v>
          </cell>
          <cell r="EK1" t="str">
            <v>31_女</v>
          </cell>
          <cell r="EL1" t="str">
            <v>32_女</v>
          </cell>
          <cell r="EM1" t="str">
            <v>33_女</v>
          </cell>
          <cell r="EN1" t="str">
            <v>34_女</v>
          </cell>
          <cell r="EO1" t="str">
            <v>35_女</v>
          </cell>
          <cell r="EP1" t="str">
            <v>36_女</v>
          </cell>
          <cell r="EQ1" t="str">
            <v>37_女</v>
          </cell>
          <cell r="ER1" t="str">
            <v>38_女</v>
          </cell>
          <cell r="ES1" t="str">
            <v>39_女</v>
          </cell>
          <cell r="ET1" t="str">
            <v>40_女</v>
          </cell>
          <cell r="EU1" t="str">
            <v>41_女</v>
          </cell>
          <cell r="EV1" t="str">
            <v>42_女</v>
          </cell>
          <cell r="EW1" t="str">
            <v>43_女</v>
          </cell>
          <cell r="EX1" t="str">
            <v>44_女</v>
          </cell>
          <cell r="EY1" t="str">
            <v>45_女</v>
          </cell>
          <cell r="EZ1" t="str">
            <v>46_女</v>
          </cell>
          <cell r="FA1" t="str">
            <v>47_女</v>
          </cell>
          <cell r="FB1" t="str">
            <v>48_女</v>
          </cell>
          <cell r="FC1" t="str">
            <v>49_女</v>
          </cell>
          <cell r="FD1" t="str">
            <v>50_女</v>
          </cell>
          <cell r="FE1" t="str">
            <v>51_女</v>
          </cell>
          <cell r="FF1" t="str">
            <v>52_女</v>
          </cell>
          <cell r="FG1" t="str">
            <v>53_女</v>
          </cell>
          <cell r="FH1" t="str">
            <v>54_女</v>
          </cell>
          <cell r="FI1" t="str">
            <v>55_女</v>
          </cell>
          <cell r="FJ1" t="str">
            <v>56_女</v>
          </cell>
          <cell r="FK1" t="str">
            <v>57_女</v>
          </cell>
          <cell r="FL1" t="str">
            <v>58_女</v>
          </cell>
          <cell r="FM1" t="str">
            <v>59_女</v>
          </cell>
          <cell r="FN1" t="str">
            <v>60_女</v>
          </cell>
          <cell r="FO1" t="str">
            <v>61_女</v>
          </cell>
          <cell r="FP1" t="str">
            <v>62_女</v>
          </cell>
          <cell r="FQ1" t="str">
            <v>63_女</v>
          </cell>
          <cell r="FR1" t="str">
            <v>64_女</v>
          </cell>
          <cell r="FS1" t="str">
            <v>65_女</v>
          </cell>
          <cell r="FT1" t="str">
            <v>66_女</v>
          </cell>
          <cell r="FU1" t="str">
            <v>67_女</v>
          </cell>
          <cell r="FV1" t="str">
            <v>68_女</v>
          </cell>
          <cell r="FW1" t="str">
            <v>69_女</v>
          </cell>
          <cell r="FX1" t="str">
            <v>70_女</v>
          </cell>
          <cell r="FY1" t="str">
            <v>71_女</v>
          </cell>
          <cell r="FZ1" t="str">
            <v>72_女</v>
          </cell>
          <cell r="GA1" t="str">
            <v>73_女</v>
          </cell>
          <cell r="GB1" t="str">
            <v>74_女</v>
          </cell>
          <cell r="GC1" t="str">
            <v>75_女</v>
          </cell>
          <cell r="GD1" t="str">
            <v>76_女</v>
          </cell>
          <cell r="GE1" t="str">
            <v>77_女</v>
          </cell>
          <cell r="GF1" t="str">
            <v>78_女</v>
          </cell>
          <cell r="GG1" t="str">
            <v>79_女</v>
          </cell>
          <cell r="GH1" t="str">
            <v>80_女</v>
          </cell>
          <cell r="GI1" t="str">
            <v>81_女</v>
          </cell>
          <cell r="GJ1" t="str">
            <v>82_女</v>
          </cell>
          <cell r="GK1" t="str">
            <v>83_女</v>
          </cell>
          <cell r="GL1" t="str">
            <v>84_女</v>
          </cell>
          <cell r="GM1" t="str">
            <v>85_女</v>
          </cell>
          <cell r="GN1" t="str">
            <v>86_女</v>
          </cell>
          <cell r="GO1" t="str">
            <v>87_女</v>
          </cell>
          <cell r="GP1" t="str">
            <v>88_女</v>
          </cell>
          <cell r="GQ1" t="str">
            <v>89_女</v>
          </cell>
          <cell r="GR1" t="str">
            <v>90_女</v>
          </cell>
          <cell r="GS1" t="str">
            <v>91_女</v>
          </cell>
          <cell r="GT1" t="str">
            <v>92_女</v>
          </cell>
          <cell r="GU1" t="str">
            <v>93_女</v>
          </cell>
          <cell r="GV1" t="str">
            <v>94_女</v>
          </cell>
          <cell r="GW1" t="str">
            <v>95_女</v>
          </cell>
          <cell r="GX1" t="str">
            <v>96_女</v>
          </cell>
          <cell r="GY1" t="str">
            <v>97_女</v>
          </cell>
          <cell r="GZ1" t="str">
            <v>98_女</v>
          </cell>
          <cell r="HA1" t="str">
            <v>99_女</v>
          </cell>
          <cell r="HB1" t="str">
            <v>100_女</v>
          </cell>
          <cell r="HC1" t="str">
            <v>101_女</v>
          </cell>
          <cell r="HD1" t="str">
            <v>102_女</v>
          </cell>
          <cell r="HE1" t="str">
            <v>103_女</v>
          </cell>
          <cell r="HF1" t="str">
            <v>104_女</v>
          </cell>
          <cell r="HG1" t="str">
            <v>105_女</v>
          </cell>
          <cell r="HH1" t="str">
            <v>106_女</v>
          </cell>
          <cell r="HI1" t="str">
            <v>0_全体</v>
          </cell>
          <cell r="HJ1" t="str">
            <v>1_全体</v>
          </cell>
          <cell r="HK1" t="str">
            <v>2_全体</v>
          </cell>
          <cell r="HL1" t="str">
            <v>3_全体</v>
          </cell>
          <cell r="HM1" t="str">
            <v>4_全体</v>
          </cell>
          <cell r="HN1" t="str">
            <v>5_全体</v>
          </cell>
          <cell r="HO1" t="str">
            <v>6_全体</v>
          </cell>
          <cell r="HP1" t="str">
            <v>7_全体</v>
          </cell>
          <cell r="HQ1" t="str">
            <v>8_全体</v>
          </cell>
          <cell r="HR1" t="str">
            <v>9_全体</v>
          </cell>
          <cell r="HS1" t="str">
            <v>10_全体</v>
          </cell>
          <cell r="HT1" t="str">
            <v>11_全体</v>
          </cell>
          <cell r="HU1" t="str">
            <v>12_全体</v>
          </cell>
          <cell r="HV1" t="str">
            <v>13_全体</v>
          </cell>
          <cell r="HW1" t="str">
            <v>14_全体</v>
          </cell>
          <cell r="HX1" t="str">
            <v>15_全体</v>
          </cell>
          <cell r="HY1" t="str">
            <v>16_全体</v>
          </cell>
          <cell r="HZ1" t="str">
            <v>17_全体</v>
          </cell>
          <cell r="IA1" t="str">
            <v>18_全体</v>
          </cell>
          <cell r="IB1" t="str">
            <v>19_全体</v>
          </cell>
          <cell r="IC1" t="str">
            <v>20_全体</v>
          </cell>
          <cell r="ID1" t="str">
            <v>21_全体</v>
          </cell>
          <cell r="IE1" t="str">
            <v>22_全体</v>
          </cell>
          <cell r="IF1" t="str">
            <v>23_全体</v>
          </cell>
          <cell r="IG1" t="str">
            <v>24_全体</v>
          </cell>
          <cell r="IH1" t="str">
            <v>25_全体</v>
          </cell>
          <cell r="II1" t="str">
            <v>26_全体</v>
          </cell>
          <cell r="IJ1" t="str">
            <v>27_全体</v>
          </cell>
          <cell r="IK1" t="str">
            <v>28_全体</v>
          </cell>
          <cell r="IL1" t="str">
            <v>29_全体</v>
          </cell>
          <cell r="IM1" t="str">
            <v>30_全体</v>
          </cell>
          <cell r="IN1" t="str">
            <v>31_全体</v>
          </cell>
          <cell r="IO1" t="str">
            <v>32_全体</v>
          </cell>
          <cell r="IP1" t="str">
            <v>33_全体</v>
          </cell>
          <cell r="IQ1" t="str">
            <v>34_全体</v>
          </cell>
          <cell r="IR1" t="str">
            <v>35_全体</v>
          </cell>
          <cell r="IS1" t="str">
            <v>36_全体</v>
          </cell>
          <cell r="IT1" t="str">
            <v>37_全体</v>
          </cell>
          <cell r="IU1" t="str">
            <v>38_全体</v>
          </cell>
          <cell r="IV1" t="str">
            <v>39_全体</v>
          </cell>
          <cell r="IW1" t="str">
            <v>40_全体</v>
          </cell>
          <cell r="IX1" t="str">
            <v>41_全体</v>
          </cell>
          <cell r="IY1" t="str">
            <v>42_全体</v>
          </cell>
          <cell r="IZ1" t="str">
            <v>43_全体</v>
          </cell>
          <cell r="JA1" t="str">
            <v>44_全体</v>
          </cell>
          <cell r="JB1" t="str">
            <v>45_全体</v>
          </cell>
          <cell r="JC1" t="str">
            <v>46_全体</v>
          </cell>
          <cell r="JD1" t="str">
            <v>47_全体</v>
          </cell>
          <cell r="JE1" t="str">
            <v>48_全体</v>
          </cell>
          <cell r="JF1" t="str">
            <v>49_全体</v>
          </cell>
          <cell r="JG1" t="str">
            <v>50_全体</v>
          </cell>
          <cell r="JH1" t="str">
            <v>51_全体</v>
          </cell>
          <cell r="JI1" t="str">
            <v>52_全体</v>
          </cell>
          <cell r="JJ1" t="str">
            <v>53_全体</v>
          </cell>
          <cell r="JK1" t="str">
            <v>54_全体</v>
          </cell>
          <cell r="JL1" t="str">
            <v>55_全体</v>
          </cell>
          <cell r="JM1" t="str">
            <v>56_全体</v>
          </cell>
          <cell r="JN1" t="str">
            <v>57_全体</v>
          </cell>
          <cell r="JO1" t="str">
            <v>58_全体</v>
          </cell>
          <cell r="JP1" t="str">
            <v>59_全体</v>
          </cell>
          <cell r="JQ1" t="str">
            <v>60_全体</v>
          </cell>
          <cell r="JR1" t="str">
            <v>61_全体</v>
          </cell>
          <cell r="JS1" t="str">
            <v>62_全体</v>
          </cell>
          <cell r="JT1" t="str">
            <v>63_全体</v>
          </cell>
          <cell r="JU1" t="str">
            <v>64_全体</v>
          </cell>
          <cell r="JV1" t="str">
            <v>65_全体</v>
          </cell>
          <cell r="JW1" t="str">
            <v>66_全体</v>
          </cell>
          <cell r="JX1" t="str">
            <v>67_全体</v>
          </cell>
          <cell r="JY1" t="str">
            <v>68_全体</v>
          </cell>
          <cell r="JZ1" t="str">
            <v>69_全体</v>
          </cell>
          <cell r="KA1" t="str">
            <v>70_全体</v>
          </cell>
          <cell r="KB1" t="str">
            <v>71_全体</v>
          </cell>
          <cell r="KC1" t="str">
            <v>72_全体</v>
          </cell>
          <cell r="KD1" t="str">
            <v>73_全体</v>
          </cell>
          <cell r="KE1" t="str">
            <v>74_全体</v>
          </cell>
          <cell r="KF1" t="str">
            <v>75_全体</v>
          </cell>
          <cell r="KG1" t="str">
            <v>76_全体</v>
          </cell>
          <cell r="KH1" t="str">
            <v>77_全体</v>
          </cell>
          <cell r="KI1" t="str">
            <v>78_全体</v>
          </cell>
          <cell r="KJ1" t="str">
            <v>79_全体</v>
          </cell>
          <cell r="KK1" t="str">
            <v>80_全体</v>
          </cell>
          <cell r="KL1" t="str">
            <v>81_全体</v>
          </cell>
          <cell r="KM1" t="str">
            <v>82_全体</v>
          </cell>
          <cell r="KN1" t="str">
            <v>83_全体</v>
          </cell>
          <cell r="KO1" t="str">
            <v>84_全体</v>
          </cell>
          <cell r="KP1" t="str">
            <v>85_全体</v>
          </cell>
          <cell r="KQ1" t="str">
            <v>86_全体</v>
          </cell>
          <cell r="KR1" t="str">
            <v>87_全体</v>
          </cell>
          <cell r="KS1" t="str">
            <v>88_全体</v>
          </cell>
          <cell r="KT1" t="str">
            <v>89_全体</v>
          </cell>
          <cell r="KU1" t="str">
            <v>90_全体</v>
          </cell>
          <cell r="KV1" t="str">
            <v>91_全体</v>
          </cell>
          <cell r="KW1" t="str">
            <v>92_全体</v>
          </cell>
          <cell r="KX1" t="str">
            <v>93_全体</v>
          </cell>
          <cell r="KY1" t="str">
            <v>94_全体</v>
          </cell>
          <cell r="KZ1" t="str">
            <v>95_全体</v>
          </cell>
          <cell r="LA1" t="str">
            <v>96_全体</v>
          </cell>
          <cell r="LB1" t="str">
            <v>97_全体</v>
          </cell>
          <cell r="LC1" t="str">
            <v>98_全体</v>
          </cell>
          <cell r="LD1" t="str">
            <v>99_全体</v>
          </cell>
          <cell r="LE1" t="str">
            <v>100_全体</v>
          </cell>
          <cell r="LF1" t="str">
            <v>101_全体</v>
          </cell>
          <cell r="LG1" t="str">
            <v>102_全体</v>
          </cell>
          <cell r="LH1" t="str">
            <v>103_全体</v>
          </cell>
          <cell r="LI1" t="str">
            <v>104_全体</v>
          </cell>
          <cell r="LJ1" t="str">
            <v>105以上_全体</v>
          </cell>
          <cell r="LK1" t="str">
            <v>106_全体</v>
          </cell>
          <cell r="LL1" t="str">
            <v>年代0-4_男</v>
          </cell>
          <cell r="LM1" t="str">
            <v>年代5-9_男</v>
          </cell>
          <cell r="LN1" t="str">
            <v>年代10-14_男</v>
          </cell>
          <cell r="LO1" t="str">
            <v>年代15-19_男</v>
          </cell>
          <cell r="LP1" t="str">
            <v>年代20-24_男</v>
          </cell>
          <cell r="LQ1" t="str">
            <v>年代25-29_男</v>
          </cell>
          <cell r="LR1" t="str">
            <v>年代30-34_男</v>
          </cell>
          <cell r="LS1" t="str">
            <v>年代35-39_男</v>
          </cell>
          <cell r="LT1" t="str">
            <v>年代40-44_男</v>
          </cell>
          <cell r="LU1" t="str">
            <v>年代45-49_男</v>
          </cell>
          <cell r="LV1" t="str">
            <v>年代50-54_男</v>
          </cell>
          <cell r="LW1" t="str">
            <v>年代55-59_男</v>
          </cell>
          <cell r="LX1" t="str">
            <v>年代60-64_男</v>
          </cell>
          <cell r="LY1" t="str">
            <v>年代65-69_男</v>
          </cell>
          <cell r="LZ1" t="str">
            <v>年代70-74_男</v>
          </cell>
          <cell r="MA1" t="str">
            <v>年代75-79_男</v>
          </cell>
          <cell r="MB1" t="str">
            <v>年代80-84_男</v>
          </cell>
          <cell r="MC1" t="str">
            <v>年代85-89_男</v>
          </cell>
          <cell r="MD1" t="str">
            <v>年代90-94_男</v>
          </cell>
          <cell r="ME1" t="str">
            <v>年代95-99_男</v>
          </cell>
          <cell r="MF1" t="str">
            <v>年代100-104_男</v>
          </cell>
          <cell r="MG1" t="str">
            <v>年代0-4_女</v>
          </cell>
          <cell r="MH1" t="str">
            <v>年代5-9_女</v>
          </cell>
          <cell r="MI1" t="str">
            <v>年代10-14_女</v>
          </cell>
          <cell r="MJ1" t="str">
            <v>年代15-19_女</v>
          </cell>
          <cell r="MK1" t="str">
            <v>年代20-24_女</v>
          </cell>
          <cell r="ML1" t="str">
            <v>年代25-29_女</v>
          </cell>
          <cell r="MM1" t="str">
            <v>年代30-34_女</v>
          </cell>
          <cell r="MN1" t="str">
            <v>年代35-39_女</v>
          </cell>
          <cell r="MO1" t="str">
            <v>年代40-44_女</v>
          </cell>
          <cell r="MP1" t="str">
            <v>年代45-49_女</v>
          </cell>
          <cell r="MQ1" t="str">
            <v>年代50-54_女</v>
          </cell>
          <cell r="MR1" t="str">
            <v>年代55-59_女</v>
          </cell>
          <cell r="MS1" t="str">
            <v>年代60-64_女</v>
          </cell>
          <cell r="MT1" t="str">
            <v>年代65-69_女</v>
          </cell>
          <cell r="MU1" t="str">
            <v>年代70-74_女</v>
          </cell>
          <cell r="MV1" t="str">
            <v>年代75-79_女</v>
          </cell>
          <cell r="MW1" t="str">
            <v>年代80-84_女</v>
          </cell>
          <cell r="MX1" t="str">
            <v>年代85-89_女</v>
          </cell>
          <cell r="MY1" t="str">
            <v>年代90-94_女</v>
          </cell>
          <cell r="MZ1" t="str">
            <v>年代95-99_女</v>
          </cell>
          <cell r="NA1" t="str">
            <v>年代100-104_女</v>
          </cell>
          <cell r="NB1" t="str">
            <v>年代0-4_全体</v>
          </cell>
          <cell r="NC1" t="str">
            <v>年代5-9_全体</v>
          </cell>
          <cell r="ND1" t="str">
            <v>年代10-14_全体</v>
          </cell>
          <cell r="NE1" t="str">
            <v>年代15-19_全体</v>
          </cell>
          <cell r="NF1" t="str">
            <v>年代20-24_全体</v>
          </cell>
          <cell r="NG1" t="str">
            <v>年代25-29_全体</v>
          </cell>
          <cell r="NH1" t="str">
            <v>年代30-34_全体</v>
          </cell>
          <cell r="NI1" t="str">
            <v>年代35-39_全体</v>
          </cell>
          <cell r="NJ1" t="str">
            <v>年代40-44_全体</v>
          </cell>
          <cell r="NK1" t="str">
            <v>年代45-49_全体</v>
          </cell>
          <cell r="NL1" t="str">
            <v>年代50-54_全体</v>
          </cell>
          <cell r="NM1" t="str">
            <v>年代55-59_全体</v>
          </cell>
          <cell r="NN1" t="str">
            <v>年代60-64_全体</v>
          </cell>
          <cell r="NO1" t="str">
            <v>年代65-69_全体</v>
          </cell>
          <cell r="NP1" t="str">
            <v>年代70-74_全体</v>
          </cell>
          <cell r="NQ1" t="str">
            <v>年代75-79_全体</v>
          </cell>
          <cell r="NR1" t="str">
            <v>年代80-84_全体</v>
          </cell>
          <cell r="NS1" t="str">
            <v>年代85-89_全体</v>
          </cell>
          <cell r="NT1" t="str">
            <v>年代90-94_全体</v>
          </cell>
          <cell r="NU1" t="str">
            <v>年代95-99_全体</v>
          </cell>
          <cell r="NV1" t="str">
            <v>年代100-104_全体</v>
          </cell>
          <cell r="NW1" t="str">
            <v>年代105-109_全体</v>
          </cell>
          <cell r="NX1" t="str">
            <v>65以上_男</v>
          </cell>
          <cell r="NY1" t="str">
            <v>65以上_女</v>
          </cell>
          <cell r="NZ1" t="str">
            <v>65以上_全体</v>
          </cell>
          <cell r="OA1" t="str">
            <v>65以上_割合</v>
          </cell>
          <cell r="OB1" t="str">
            <v>合計_男</v>
          </cell>
          <cell r="OC1" t="str">
            <v>合計_女</v>
          </cell>
          <cell r="OD1" t="str">
            <v>合計_総合計</v>
          </cell>
          <cell r="OE1" t="str">
            <v>世帯数</v>
          </cell>
          <cell r="OF1" t="str">
            <v>平均_男</v>
          </cell>
          <cell r="OG1" t="str">
            <v>平均_女</v>
          </cell>
          <cell r="OH1" t="str">
            <v>平均_全体</v>
          </cell>
          <cell r="OI1" t="str">
            <v>作成日</v>
          </cell>
          <cell r="OJ1" t="str">
            <v>集計対象</v>
          </cell>
        </row>
        <row r="2">
          <cell r="A2" t="str">
            <v>大阪府摂津市</v>
          </cell>
          <cell r="B2" t="str">
            <v>全体</v>
          </cell>
          <cell r="C2" t="str">
            <v>令和元年 6月30日</v>
          </cell>
          <cell r="D2">
            <v>396</v>
          </cell>
          <cell r="E2">
            <v>411</v>
          </cell>
          <cell r="F2">
            <v>396</v>
          </cell>
          <cell r="G2">
            <v>430</v>
          </cell>
          <cell r="H2">
            <v>338</v>
          </cell>
          <cell r="I2">
            <v>384</v>
          </cell>
          <cell r="J2">
            <v>378</v>
          </cell>
          <cell r="K2">
            <v>348</v>
          </cell>
          <cell r="L2">
            <v>383</v>
          </cell>
          <cell r="M2">
            <v>390</v>
          </cell>
          <cell r="N2">
            <v>356</v>
          </cell>
          <cell r="O2">
            <v>355</v>
          </cell>
          <cell r="P2">
            <v>381</v>
          </cell>
          <cell r="Q2">
            <v>377</v>
          </cell>
          <cell r="R2">
            <v>414</v>
          </cell>
          <cell r="S2">
            <v>398</v>
          </cell>
          <cell r="T2">
            <v>359</v>
          </cell>
          <cell r="U2">
            <v>437</v>
          </cell>
          <cell r="V2">
            <v>455</v>
          </cell>
          <cell r="W2">
            <v>456</v>
          </cell>
          <cell r="X2">
            <v>478</v>
          </cell>
          <cell r="Y2">
            <v>477</v>
          </cell>
          <cell r="Z2">
            <v>459</v>
          </cell>
          <cell r="AA2">
            <v>506</v>
          </cell>
          <cell r="AB2">
            <v>483</v>
          </cell>
          <cell r="AC2">
            <v>544</v>
          </cell>
          <cell r="AD2">
            <v>511</v>
          </cell>
          <cell r="AE2">
            <v>507</v>
          </cell>
          <cell r="AF2">
            <v>541</v>
          </cell>
          <cell r="AG2">
            <v>498</v>
          </cell>
          <cell r="AH2">
            <v>554</v>
          </cell>
          <cell r="AI2">
            <v>589</v>
          </cell>
          <cell r="AJ2">
            <v>541</v>
          </cell>
          <cell r="AK2">
            <v>546</v>
          </cell>
          <cell r="AL2">
            <v>540</v>
          </cell>
          <cell r="AM2">
            <v>578</v>
          </cell>
          <cell r="AN2">
            <v>577</v>
          </cell>
          <cell r="AO2">
            <v>583</v>
          </cell>
          <cell r="AP2">
            <v>568</v>
          </cell>
          <cell r="AQ2">
            <v>566</v>
          </cell>
          <cell r="AR2">
            <v>596</v>
          </cell>
          <cell r="AS2">
            <v>623</v>
          </cell>
          <cell r="AT2">
            <v>616</v>
          </cell>
          <cell r="AU2">
            <v>739</v>
          </cell>
          <cell r="AV2">
            <v>717</v>
          </cell>
          <cell r="AW2">
            <v>841</v>
          </cell>
          <cell r="AX2">
            <v>889</v>
          </cell>
          <cell r="AY2">
            <v>803</v>
          </cell>
          <cell r="AZ2">
            <v>756</v>
          </cell>
          <cell r="BA2">
            <v>740</v>
          </cell>
          <cell r="BB2">
            <v>687</v>
          </cell>
          <cell r="BC2">
            <v>678</v>
          </cell>
          <cell r="BD2">
            <v>633</v>
          </cell>
          <cell r="BE2">
            <v>545</v>
          </cell>
          <cell r="BF2">
            <v>523</v>
          </cell>
          <cell r="BG2">
            <v>489</v>
          </cell>
          <cell r="BH2">
            <v>493</v>
          </cell>
          <cell r="BI2">
            <v>463</v>
          </cell>
          <cell r="BJ2">
            <v>419</v>
          </cell>
          <cell r="BK2">
            <v>417</v>
          </cell>
          <cell r="BL2">
            <v>445</v>
          </cell>
          <cell r="BM2">
            <v>399</v>
          </cell>
          <cell r="BN2">
            <v>412</v>
          </cell>
          <cell r="BO2">
            <v>408</v>
          </cell>
          <cell r="BP2">
            <v>451</v>
          </cell>
          <cell r="BQ2">
            <v>401</v>
          </cell>
          <cell r="BR2">
            <v>435</v>
          </cell>
          <cell r="BS2">
            <v>502</v>
          </cell>
          <cell r="BT2">
            <v>558</v>
          </cell>
          <cell r="BU2">
            <v>622</v>
          </cell>
          <cell r="BV2">
            <v>632</v>
          </cell>
          <cell r="BW2">
            <v>704</v>
          </cell>
          <cell r="BX2">
            <v>591</v>
          </cell>
          <cell r="BY2">
            <v>347</v>
          </cell>
          <cell r="BZ2">
            <v>440</v>
          </cell>
          <cell r="CA2">
            <v>534</v>
          </cell>
          <cell r="CB2">
            <v>460</v>
          </cell>
          <cell r="CC2">
            <v>542</v>
          </cell>
          <cell r="CD2">
            <v>454</v>
          </cell>
          <cell r="CE2">
            <v>384</v>
          </cell>
          <cell r="CF2">
            <v>331</v>
          </cell>
          <cell r="CG2">
            <v>308</v>
          </cell>
          <cell r="CH2">
            <v>296</v>
          </cell>
          <cell r="CI2">
            <v>274</v>
          </cell>
          <cell r="CJ2">
            <v>194</v>
          </cell>
          <cell r="CK2">
            <v>148</v>
          </cell>
          <cell r="CL2">
            <v>132</v>
          </cell>
          <cell r="CM2">
            <v>123</v>
          </cell>
          <cell r="CN2">
            <v>91</v>
          </cell>
          <cell r="CO2">
            <v>55</v>
          </cell>
          <cell r="CP2">
            <v>60</v>
          </cell>
          <cell r="CQ2">
            <v>47</v>
          </cell>
          <cell r="CR2">
            <v>34</v>
          </cell>
          <cell r="CS2">
            <v>16</v>
          </cell>
          <cell r="CT2">
            <v>17</v>
          </cell>
          <cell r="CU2">
            <v>8</v>
          </cell>
          <cell r="CV2">
            <v>8</v>
          </cell>
          <cell r="CW2">
            <v>7</v>
          </cell>
          <cell r="CX2">
            <v>4</v>
          </cell>
          <cell r="CY2">
            <v>1</v>
          </cell>
          <cell r="CZ2">
            <v>1</v>
          </cell>
          <cell r="DA2">
            <v>0</v>
          </cell>
          <cell r="DB2">
            <v>0</v>
          </cell>
          <cell r="DC2">
            <v>1</v>
          </cell>
          <cell r="DD2">
            <v>0</v>
          </cell>
          <cell r="DE2">
            <v>0</v>
          </cell>
          <cell r="DF2">
            <v>383</v>
          </cell>
          <cell r="DG2">
            <v>409</v>
          </cell>
          <cell r="DH2">
            <v>339</v>
          </cell>
          <cell r="DI2">
            <v>384</v>
          </cell>
          <cell r="DJ2">
            <v>367</v>
          </cell>
          <cell r="DK2">
            <v>369</v>
          </cell>
          <cell r="DL2">
            <v>312</v>
          </cell>
          <cell r="DM2">
            <v>390</v>
          </cell>
          <cell r="DN2">
            <v>348</v>
          </cell>
          <cell r="DO2">
            <v>362</v>
          </cell>
          <cell r="DP2">
            <v>360</v>
          </cell>
          <cell r="DQ2">
            <v>372</v>
          </cell>
          <cell r="DR2">
            <v>340</v>
          </cell>
          <cell r="DS2">
            <v>366</v>
          </cell>
          <cell r="DT2">
            <v>361</v>
          </cell>
          <cell r="DU2">
            <v>370</v>
          </cell>
          <cell r="DV2">
            <v>368</v>
          </cell>
          <cell r="DW2">
            <v>419</v>
          </cell>
          <cell r="DX2">
            <v>378</v>
          </cell>
          <cell r="DY2">
            <v>443</v>
          </cell>
          <cell r="DZ2">
            <v>429</v>
          </cell>
          <cell r="EA2">
            <v>415</v>
          </cell>
          <cell r="EB2">
            <v>481</v>
          </cell>
          <cell r="EC2">
            <v>483</v>
          </cell>
          <cell r="ED2">
            <v>428</v>
          </cell>
          <cell r="EE2">
            <v>444</v>
          </cell>
          <cell r="EF2">
            <v>475</v>
          </cell>
          <cell r="EG2">
            <v>470</v>
          </cell>
          <cell r="EH2">
            <v>532</v>
          </cell>
          <cell r="EI2">
            <v>510</v>
          </cell>
          <cell r="EJ2">
            <v>534</v>
          </cell>
          <cell r="EK2">
            <v>541</v>
          </cell>
          <cell r="EL2">
            <v>526</v>
          </cell>
          <cell r="EM2">
            <v>527</v>
          </cell>
          <cell r="EN2">
            <v>505</v>
          </cell>
          <cell r="EO2">
            <v>532</v>
          </cell>
          <cell r="EP2">
            <v>568</v>
          </cell>
          <cell r="EQ2">
            <v>534</v>
          </cell>
          <cell r="ER2">
            <v>529</v>
          </cell>
          <cell r="ES2">
            <v>554</v>
          </cell>
          <cell r="ET2">
            <v>557</v>
          </cell>
          <cell r="EU2">
            <v>600</v>
          </cell>
          <cell r="EV2">
            <v>572</v>
          </cell>
          <cell r="EW2">
            <v>655</v>
          </cell>
          <cell r="EX2">
            <v>695</v>
          </cell>
          <cell r="EY2">
            <v>726</v>
          </cell>
          <cell r="EZ2">
            <v>781</v>
          </cell>
          <cell r="FA2">
            <v>756</v>
          </cell>
          <cell r="FB2">
            <v>705</v>
          </cell>
          <cell r="FC2">
            <v>663</v>
          </cell>
          <cell r="FD2">
            <v>616</v>
          </cell>
          <cell r="FE2">
            <v>612</v>
          </cell>
          <cell r="FF2">
            <v>521</v>
          </cell>
          <cell r="FG2">
            <v>442</v>
          </cell>
          <cell r="FH2">
            <v>522</v>
          </cell>
          <cell r="FI2">
            <v>476</v>
          </cell>
          <cell r="FJ2">
            <v>442</v>
          </cell>
          <cell r="FK2">
            <v>421</v>
          </cell>
          <cell r="FL2">
            <v>405</v>
          </cell>
          <cell r="FM2">
            <v>405</v>
          </cell>
          <cell r="FN2">
            <v>402</v>
          </cell>
          <cell r="FO2">
            <v>402</v>
          </cell>
          <cell r="FP2">
            <v>406</v>
          </cell>
          <cell r="FQ2">
            <v>423</v>
          </cell>
          <cell r="FR2">
            <v>460</v>
          </cell>
          <cell r="FS2">
            <v>458</v>
          </cell>
          <cell r="FT2">
            <v>493</v>
          </cell>
          <cell r="FU2">
            <v>555</v>
          </cell>
          <cell r="FV2">
            <v>593</v>
          </cell>
          <cell r="FW2">
            <v>704</v>
          </cell>
          <cell r="FX2">
            <v>778</v>
          </cell>
          <cell r="FY2">
            <v>780</v>
          </cell>
          <cell r="FZ2">
            <v>672</v>
          </cell>
          <cell r="GA2">
            <v>429</v>
          </cell>
          <cell r="GB2">
            <v>548</v>
          </cell>
          <cell r="GC2">
            <v>591</v>
          </cell>
          <cell r="GD2">
            <v>651</v>
          </cell>
          <cell r="GE2">
            <v>613</v>
          </cell>
          <cell r="GF2">
            <v>560</v>
          </cell>
          <cell r="GG2">
            <v>458</v>
          </cell>
          <cell r="GH2">
            <v>372</v>
          </cell>
          <cell r="GI2">
            <v>398</v>
          </cell>
          <cell r="GJ2">
            <v>342</v>
          </cell>
          <cell r="GK2">
            <v>324</v>
          </cell>
          <cell r="GL2">
            <v>272</v>
          </cell>
          <cell r="GM2">
            <v>278</v>
          </cell>
          <cell r="GN2">
            <v>238</v>
          </cell>
          <cell r="GO2">
            <v>192</v>
          </cell>
          <cell r="GP2">
            <v>159</v>
          </cell>
          <cell r="GQ2">
            <v>152</v>
          </cell>
          <cell r="GR2">
            <v>137</v>
          </cell>
          <cell r="GS2">
            <v>101</v>
          </cell>
          <cell r="GT2">
            <v>103</v>
          </cell>
          <cell r="GU2">
            <v>74</v>
          </cell>
          <cell r="GV2">
            <v>63</v>
          </cell>
          <cell r="GW2">
            <v>52</v>
          </cell>
          <cell r="GX2">
            <v>31</v>
          </cell>
          <cell r="GY2">
            <v>33</v>
          </cell>
          <cell r="GZ2">
            <v>17</v>
          </cell>
          <cell r="HA2">
            <v>19</v>
          </cell>
          <cell r="HB2">
            <v>7</v>
          </cell>
          <cell r="HC2">
            <v>3</v>
          </cell>
          <cell r="HD2">
            <v>2</v>
          </cell>
          <cell r="HE2">
            <v>4</v>
          </cell>
          <cell r="HF2">
            <v>3</v>
          </cell>
          <cell r="HG2">
            <v>0</v>
          </cell>
          <cell r="HH2">
            <v>1</v>
          </cell>
          <cell r="HI2">
            <v>779</v>
          </cell>
          <cell r="HJ2">
            <v>820</v>
          </cell>
          <cell r="HK2">
            <v>735</v>
          </cell>
          <cell r="HL2">
            <v>814</v>
          </cell>
          <cell r="HM2">
            <v>705</v>
          </cell>
          <cell r="HN2">
            <v>753</v>
          </cell>
          <cell r="HO2">
            <v>690</v>
          </cell>
          <cell r="HP2">
            <v>738</v>
          </cell>
          <cell r="HQ2">
            <v>731</v>
          </cell>
          <cell r="HR2">
            <v>752</v>
          </cell>
          <cell r="HS2">
            <v>716</v>
          </cell>
          <cell r="HT2">
            <v>727</v>
          </cell>
          <cell r="HU2">
            <v>721</v>
          </cell>
          <cell r="HV2">
            <v>743</v>
          </cell>
          <cell r="HW2">
            <v>775</v>
          </cell>
          <cell r="HX2">
            <v>768</v>
          </cell>
          <cell r="HY2">
            <v>727</v>
          </cell>
          <cell r="HZ2">
            <v>856</v>
          </cell>
          <cell r="IA2">
            <v>833</v>
          </cell>
          <cell r="IB2">
            <v>899</v>
          </cell>
          <cell r="IC2">
            <v>907</v>
          </cell>
          <cell r="ID2">
            <v>892</v>
          </cell>
          <cell r="IE2">
            <v>940</v>
          </cell>
          <cell r="IF2">
            <v>989</v>
          </cell>
          <cell r="IG2">
            <v>911</v>
          </cell>
          <cell r="IH2">
            <v>988</v>
          </cell>
          <cell r="II2">
            <v>986</v>
          </cell>
          <cell r="IJ2">
            <v>977</v>
          </cell>
          <cell r="IK2">
            <v>1073</v>
          </cell>
          <cell r="IL2">
            <v>1008</v>
          </cell>
          <cell r="IM2">
            <v>1088</v>
          </cell>
          <cell r="IN2">
            <v>1130</v>
          </cell>
          <cell r="IO2">
            <v>1067</v>
          </cell>
          <cell r="IP2">
            <v>1073</v>
          </cell>
          <cell r="IQ2">
            <v>1045</v>
          </cell>
          <cell r="IR2">
            <v>1110</v>
          </cell>
          <cell r="IS2">
            <v>1145</v>
          </cell>
          <cell r="IT2">
            <v>1117</v>
          </cell>
          <cell r="IU2">
            <v>1097</v>
          </cell>
          <cell r="IV2">
            <v>1120</v>
          </cell>
          <cell r="IW2">
            <v>1153</v>
          </cell>
          <cell r="IX2">
            <v>1223</v>
          </cell>
          <cell r="IY2">
            <v>1188</v>
          </cell>
          <cell r="IZ2">
            <v>1394</v>
          </cell>
          <cell r="JA2">
            <v>1412</v>
          </cell>
          <cell r="JB2">
            <v>1567</v>
          </cell>
          <cell r="JC2">
            <v>1670</v>
          </cell>
          <cell r="JD2">
            <v>1559</v>
          </cell>
          <cell r="JE2">
            <v>1461</v>
          </cell>
          <cell r="JF2">
            <v>1403</v>
          </cell>
          <cell r="JG2">
            <v>1303</v>
          </cell>
          <cell r="JH2">
            <v>1290</v>
          </cell>
          <cell r="JI2">
            <v>1154</v>
          </cell>
          <cell r="JJ2">
            <v>987</v>
          </cell>
          <cell r="JK2">
            <v>1045</v>
          </cell>
          <cell r="JL2">
            <v>965</v>
          </cell>
          <cell r="JM2">
            <v>935</v>
          </cell>
          <cell r="JN2">
            <v>884</v>
          </cell>
          <cell r="JO2">
            <v>824</v>
          </cell>
          <cell r="JP2">
            <v>822</v>
          </cell>
          <cell r="JQ2">
            <v>847</v>
          </cell>
          <cell r="JR2">
            <v>801</v>
          </cell>
          <cell r="JS2">
            <v>818</v>
          </cell>
          <cell r="JT2">
            <v>831</v>
          </cell>
          <cell r="JU2">
            <v>911</v>
          </cell>
          <cell r="JV2">
            <v>859</v>
          </cell>
          <cell r="JW2">
            <v>928</v>
          </cell>
          <cell r="JX2">
            <v>1057</v>
          </cell>
          <cell r="JY2">
            <v>1151</v>
          </cell>
          <cell r="JZ2">
            <v>1326</v>
          </cell>
          <cell r="KA2">
            <v>1410</v>
          </cell>
          <cell r="KB2">
            <v>1484</v>
          </cell>
          <cell r="KC2">
            <v>1263</v>
          </cell>
          <cell r="KD2">
            <v>776</v>
          </cell>
          <cell r="KE2">
            <v>988</v>
          </cell>
          <cell r="KF2">
            <v>1125</v>
          </cell>
          <cell r="KG2">
            <v>1111</v>
          </cell>
          <cell r="KH2">
            <v>1155</v>
          </cell>
          <cell r="KI2">
            <v>1014</v>
          </cell>
          <cell r="KJ2">
            <v>842</v>
          </cell>
          <cell r="KK2">
            <v>703</v>
          </cell>
          <cell r="KL2">
            <v>706</v>
          </cell>
          <cell r="KM2">
            <v>638</v>
          </cell>
          <cell r="KN2">
            <v>598</v>
          </cell>
          <cell r="KO2">
            <v>466</v>
          </cell>
          <cell r="KP2">
            <v>426</v>
          </cell>
          <cell r="KQ2">
            <v>370</v>
          </cell>
          <cell r="KR2">
            <v>315</v>
          </cell>
          <cell r="KS2">
            <v>250</v>
          </cell>
          <cell r="KT2">
            <v>207</v>
          </cell>
          <cell r="KU2">
            <v>197</v>
          </cell>
          <cell r="KV2">
            <v>148</v>
          </cell>
          <cell r="KW2">
            <v>137</v>
          </cell>
          <cell r="KX2">
            <v>90</v>
          </cell>
          <cell r="KY2">
            <v>80</v>
          </cell>
          <cell r="KZ2">
            <v>60</v>
          </cell>
          <cell r="LA2">
            <v>39</v>
          </cell>
          <cell r="LB2">
            <v>40</v>
          </cell>
          <cell r="LC2">
            <v>21</v>
          </cell>
          <cell r="LD2">
            <v>20</v>
          </cell>
          <cell r="LE2">
            <v>8</v>
          </cell>
          <cell r="LF2">
            <v>3</v>
          </cell>
          <cell r="LG2">
            <v>2</v>
          </cell>
          <cell r="LH2">
            <v>5</v>
          </cell>
          <cell r="LI2">
            <v>3</v>
          </cell>
          <cell r="LJ2">
            <v>0</v>
          </cell>
          <cell r="LK2">
            <v>1</v>
          </cell>
          <cell r="LL2">
            <v>1971</v>
          </cell>
          <cell r="LM2">
            <v>1883</v>
          </cell>
          <cell r="LN2">
            <v>1883</v>
          </cell>
          <cell r="LO2">
            <v>2105</v>
          </cell>
          <cell r="LP2">
            <v>2403</v>
          </cell>
          <cell r="LQ2">
            <v>2601</v>
          </cell>
          <cell r="LR2">
            <v>2770</v>
          </cell>
          <cell r="LS2">
            <v>2872</v>
          </cell>
          <cell r="LT2">
            <v>3291</v>
          </cell>
          <cell r="LU2">
            <v>4029</v>
          </cell>
          <cell r="LV2">
            <v>3066</v>
          </cell>
          <cell r="LW2">
            <v>2281</v>
          </cell>
          <cell r="LX2">
            <v>2115</v>
          </cell>
          <cell r="LY2">
            <v>2518</v>
          </cell>
          <cell r="LZ2">
            <v>2714</v>
          </cell>
          <cell r="MA2">
            <v>2374</v>
          </cell>
          <cell r="MB2">
            <v>1403</v>
          </cell>
          <cell r="MC2">
            <v>549</v>
          </cell>
          <cell r="MD2">
            <v>174</v>
          </cell>
          <cell r="ME2">
            <v>28</v>
          </cell>
          <cell r="MF2">
            <v>2</v>
          </cell>
          <cell r="MG2">
            <v>1882</v>
          </cell>
          <cell r="MH2">
            <v>1781</v>
          </cell>
          <cell r="MI2">
            <v>1799</v>
          </cell>
          <cell r="MJ2">
            <v>1978</v>
          </cell>
          <cell r="MK2">
            <v>2236</v>
          </cell>
          <cell r="ML2">
            <v>2431</v>
          </cell>
          <cell r="MM2">
            <v>2633</v>
          </cell>
          <cell r="MN2">
            <v>2717</v>
          </cell>
          <cell r="MO2">
            <v>3079</v>
          </cell>
          <cell r="MP2">
            <v>3631</v>
          </cell>
          <cell r="MQ2">
            <v>2713</v>
          </cell>
          <cell r="MR2">
            <v>2149</v>
          </cell>
          <cell r="MS2">
            <v>2093</v>
          </cell>
          <cell r="MT2">
            <v>2803</v>
          </cell>
          <cell r="MU2">
            <v>3207</v>
          </cell>
          <cell r="MV2">
            <v>2873</v>
          </cell>
          <cell r="MW2">
            <v>1708</v>
          </cell>
          <cell r="MX2">
            <v>1019</v>
          </cell>
          <cell r="MY2">
            <v>478</v>
          </cell>
          <cell r="MZ2">
            <v>152</v>
          </cell>
          <cell r="NA2">
            <v>19</v>
          </cell>
          <cell r="NB2">
            <v>3853</v>
          </cell>
          <cell r="NC2">
            <v>3664</v>
          </cell>
          <cell r="ND2">
            <v>3682</v>
          </cell>
          <cell r="NE2">
            <v>4083</v>
          </cell>
          <cell r="NF2">
            <v>4639</v>
          </cell>
          <cell r="NG2">
            <v>5032</v>
          </cell>
          <cell r="NH2">
            <v>5403</v>
          </cell>
          <cell r="NI2">
            <v>5589</v>
          </cell>
          <cell r="NJ2">
            <v>6370</v>
          </cell>
          <cell r="NK2">
            <v>7660</v>
          </cell>
          <cell r="NL2">
            <v>5779</v>
          </cell>
          <cell r="NM2">
            <v>4430</v>
          </cell>
          <cell r="NN2">
            <v>4208</v>
          </cell>
          <cell r="NO2">
            <v>5321</v>
          </cell>
          <cell r="NP2">
            <v>5921</v>
          </cell>
          <cell r="NQ2">
            <v>5247</v>
          </cell>
          <cell r="NR2">
            <v>3111</v>
          </cell>
          <cell r="NS2">
            <v>1568</v>
          </cell>
          <cell r="NT2">
            <v>652</v>
          </cell>
          <cell r="NU2">
            <v>180</v>
          </cell>
          <cell r="NV2">
            <v>20</v>
          </cell>
          <cell r="NW2">
            <v>1</v>
          </cell>
          <cell r="NX2">
            <v>9762</v>
          </cell>
          <cell r="NY2">
            <v>12260</v>
          </cell>
          <cell r="NZ2">
            <v>22022</v>
          </cell>
          <cell r="OA2">
            <v>25.5</v>
          </cell>
          <cell r="OB2">
            <v>43032</v>
          </cell>
          <cell r="OC2">
            <v>43382</v>
          </cell>
          <cell r="OD2">
            <v>86414</v>
          </cell>
          <cell r="OE2">
            <v>41172</v>
          </cell>
          <cell r="OF2">
            <v>43</v>
          </cell>
          <cell r="OG2">
            <v>46</v>
          </cell>
          <cell r="OH2">
            <v>45</v>
          </cell>
          <cell r="OI2" t="str">
            <v>令和元年 7月 2日</v>
          </cell>
          <cell r="OJ2" t="str">
            <v>※外国人を含めた集計です。</v>
          </cell>
        </row>
      </sheetData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操作方法"/>
      <sheetName val="データ貼り付けシート"/>
      <sheetName val="印刷用シート"/>
      <sheetName val="ホームページ用シート"/>
    </sheetNames>
    <sheetDataSet>
      <sheetData sheetId="0"/>
      <sheetData sheetId="1">
        <row r="1">
          <cell r="A1" t="str">
            <v>自治体名</v>
          </cell>
          <cell r="B1" t="str">
            <v>集計区分</v>
          </cell>
          <cell r="C1" t="str">
            <v>基準日</v>
          </cell>
          <cell r="D1" t="str">
            <v>0_男</v>
          </cell>
          <cell r="E1" t="str">
            <v>1_男</v>
          </cell>
          <cell r="F1" t="str">
            <v>2_男</v>
          </cell>
          <cell r="G1" t="str">
            <v>3_男</v>
          </cell>
          <cell r="H1" t="str">
            <v>4_男</v>
          </cell>
          <cell r="I1" t="str">
            <v>5_男</v>
          </cell>
          <cell r="J1" t="str">
            <v>6_男</v>
          </cell>
          <cell r="K1" t="str">
            <v>7_男</v>
          </cell>
          <cell r="L1" t="str">
            <v>8_男</v>
          </cell>
          <cell r="M1" t="str">
            <v>9_男</v>
          </cell>
          <cell r="N1" t="str">
            <v>10_男</v>
          </cell>
          <cell r="O1" t="str">
            <v>11_男</v>
          </cell>
          <cell r="P1" t="str">
            <v>12_男</v>
          </cell>
          <cell r="Q1" t="str">
            <v>13_男</v>
          </cell>
          <cell r="R1" t="str">
            <v>14_男</v>
          </cell>
          <cell r="S1" t="str">
            <v>15_男</v>
          </cell>
          <cell r="T1" t="str">
            <v>16_男</v>
          </cell>
          <cell r="U1" t="str">
            <v>17_男</v>
          </cell>
          <cell r="V1" t="str">
            <v>18_男</v>
          </cell>
          <cell r="W1" t="str">
            <v>19_男</v>
          </cell>
          <cell r="X1" t="str">
            <v>20_男</v>
          </cell>
          <cell r="Y1" t="str">
            <v>21_男</v>
          </cell>
          <cell r="Z1" t="str">
            <v>22_男</v>
          </cell>
          <cell r="AA1" t="str">
            <v>23_男</v>
          </cell>
          <cell r="AB1" t="str">
            <v>24_男</v>
          </cell>
          <cell r="AC1" t="str">
            <v>25_男</v>
          </cell>
          <cell r="AD1" t="str">
            <v>26_男</v>
          </cell>
          <cell r="AE1" t="str">
            <v>27_男</v>
          </cell>
          <cell r="AF1" t="str">
            <v>28_男</v>
          </cell>
          <cell r="AG1" t="str">
            <v>29_男</v>
          </cell>
          <cell r="AH1" t="str">
            <v>30_男</v>
          </cell>
          <cell r="AI1" t="str">
            <v>31_男</v>
          </cell>
          <cell r="AJ1" t="str">
            <v>32_男</v>
          </cell>
          <cell r="AK1" t="str">
            <v>33_男</v>
          </cell>
          <cell r="AL1" t="str">
            <v>34_男</v>
          </cell>
          <cell r="AM1" t="str">
            <v>35_男</v>
          </cell>
          <cell r="AN1" t="str">
            <v>36_男</v>
          </cell>
          <cell r="AO1" t="str">
            <v>37_男</v>
          </cell>
          <cell r="AP1" t="str">
            <v>38_男</v>
          </cell>
          <cell r="AQ1" t="str">
            <v>39_男</v>
          </cell>
          <cell r="AR1" t="str">
            <v>40_男</v>
          </cell>
          <cell r="AS1" t="str">
            <v>41_男</v>
          </cell>
          <cell r="AT1" t="str">
            <v>42_男</v>
          </cell>
          <cell r="AU1" t="str">
            <v>43_男</v>
          </cell>
          <cell r="AV1" t="str">
            <v>44_男</v>
          </cell>
          <cell r="AW1" t="str">
            <v>45_男</v>
          </cell>
          <cell r="AX1" t="str">
            <v>46_男</v>
          </cell>
          <cell r="AY1" t="str">
            <v>47_男</v>
          </cell>
          <cell r="AZ1" t="str">
            <v>48_男</v>
          </cell>
          <cell r="BA1" t="str">
            <v>49_男</v>
          </cell>
          <cell r="BB1" t="str">
            <v>50_男</v>
          </cell>
          <cell r="BC1" t="str">
            <v>51_男</v>
          </cell>
          <cell r="BD1" t="str">
            <v>52_男</v>
          </cell>
          <cell r="BE1" t="str">
            <v>53_男</v>
          </cell>
          <cell r="BF1" t="str">
            <v>54_男</v>
          </cell>
          <cell r="BG1" t="str">
            <v>55_男</v>
          </cell>
          <cell r="BH1" t="str">
            <v>56_男</v>
          </cell>
          <cell r="BI1" t="str">
            <v>57_男</v>
          </cell>
          <cell r="BJ1" t="str">
            <v>58_男</v>
          </cell>
          <cell r="BK1" t="str">
            <v>59_男</v>
          </cell>
          <cell r="BL1" t="str">
            <v>60_男</v>
          </cell>
          <cell r="BM1" t="str">
            <v>61_男</v>
          </cell>
          <cell r="BN1" t="str">
            <v>62_男</v>
          </cell>
          <cell r="BO1" t="str">
            <v>63_男</v>
          </cell>
          <cell r="BP1" t="str">
            <v>64_男</v>
          </cell>
          <cell r="BQ1" t="str">
            <v>65_男</v>
          </cell>
          <cell r="BR1" t="str">
            <v>66_男</v>
          </cell>
          <cell r="BS1" t="str">
            <v>67_男</v>
          </cell>
          <cell r="BT1" t="str">
            <v>68_男</v>
          </cell>
          <cell r="BU1" t="str">
            <v>69_男</v>
          </cell>
          <cell r="BV1" t="str">
            <v>70_男</v>
          </cell>
          <cell r="BW1" t="str">
            <v>71_男</v>
          </cell>
          <cell r="BX1" t="str">
            <v>72_男</v>
          </cell>
          <cell r="BY1" t="str">
            <v>73_男</v>
          </cell>
          <cell r="BZ1" t="str">
            <v>74_男</v>
          </cell>
          <cell r="CA1" t="str">
            <v>75_男</v>
          </cell>
          <cell r="CB1" t="str">
            <v>76_男</v>
          </cell>
          <cell r="CC1" t="str">
            <v>77_男</v>
          </cell>
          <cell r="CD1" t="str">
            <v>78_男</v>
          </cell>
          <cell r="CE1" t="str">
            <v>79_男</v>
          </cell>
          <cell r="CF1" t="str">
            <v>80_男</v>
          </cell>
          <cell r="CG1" t="str">
            <v>81_男</v>
          </cell>
          <cell r="CH1" t="str">
            <v>82_男</v>
          </cell>
          <cell r="CI1" t="str">
            <v>83_男</v>
          </cell>
          <cell r="CJ1" t="str">
            <v>84_男</v>
          </cell>
          <cell r="CK1" t="str">
            <v>85_男</v>
          </cell>
          <cell r="CL1" t="str">
            <v>86_男</v>
          </cell>
          <cell r="CM1" t="str">
            <v>87_男</v>
          </cell>
          <cell r="CN1" t="str">
            <v>88_男</v>
          </cell>
          <cell r="CO1" t="str">
            <v>89_男</v>
          </cell>
          <cell r="CP1" t="str">
            <v>90_男</v>
          </cell>
          <cell r="CQ1" t="str">
            <v>91_男</v>
          </cell>
          <cell r="CR1" t="str">
            <v>92_男</v>
          </cell>
          <cell r="CS1" t="str">
            <v>93_男</v>
          </cell>
          <cell r="CT1" t="str">
            <v>94_男</v>
          </cell>
          <cell r="CU1" t="str">
            <v>95_男</v>
          </cell>
          <cell r="CV1" t="str">
            <v>96_男</v>
          </cell>
          <cell r="CW1" t="str">
            <v>97_男</v>
          </cell>
          <cell r="CX1" t="str">
            <v>98_男</v>
          </cell>
          <cell r="CY1" t="str">
            <v>99_男</v>
          </cell>
          <cell r="CZ1" t="str">
            <v>100_男</v>
          </cell>
          <cell r="DA1" t="str">
            <v>101_男</v>
          </cell>
          <cell r="DB1" t="str">
            <v>102_男</v>
          </cell>
          <cell r="DC1" t="str">
            <v>103_男</v>
          </cell>
          <cell r="DD1" t="str">
            <v>104_男</v>
          </cell>
          <cell r="DE1" t="str">
            <v>105以上_男</v>
          </cell>
          <cell r="DF1" t="str">
            <v>0_女</v>
          </cell>
          <cell r="DG1" t="str">
            <v>1_女</v>
          </cell>
          <cell r="DH1" t="str">
            <v>2_女</v>
          </cell>
          <cell r="DI1" t="str">
            <v>3_女</v>
          </cell>
          <cell r="DJ1" t="str">
            <v>4_女</v>
          </cell>
          <cell r="DK1" t="str">
            <v>5_女</v>
          </cell>
          <cell r="DL1" t="str">
            <v>6_女</v>
          </cell>
          <cell r="DM1" t="str">
            <v>7_女</v>
          </cell>
          <cell r="DN1" t="str">
            <v>8_女</v>
          </cell>
          <cell r="DO1" t="str">
            <v>9_女</v>
          </cell>
          <cell r="DP1" t="str">
            <v>10_女</v>
          </cell>
          <cell r="DQ1" t="str">
            <v>11_女</v>
          </cell>
          <cell r="DR1" t="str">
            <v>12_女</v>
          </cell>
          <cell r="DS1" t="str">
            <v>13_女</v>
          </cell>
          <cell r="DT1" t="str">
            <v>14_女</v>
          </cell>
          <cell r="DU1" t="str">
            <v>15_女</v>
          </cell>
          <cell r="DV1" t="str">
            <v>16_女</v>
          </cell>
          <cell r="DW1" t="str">
            <v>17_女</v>
          </cell>
          <cell r="DX1" t="str">
            <v>18_女</v>
          </cell>
          <cell r="DY1" t="str">
            <v>19_女</v>
          </cell>
          <cell r="DZ1" t="str">
            <v>20_女</v>
          </cell>
          <cell r="EA1" t="str">
            <v>21_女</v>
          </cell>
          <cell r="EB1" t="str">
            <v>22_女</v>
          </cell>
          <cell r="EC1" t="str">
            <v>23_女</v>
          </cell>
          <cell r="ED1" t="str">
            <v>24_女</v>
          </cell>
          <cell r="EE1" t="str">
            <v>25_女</v>
          </cell>
          <cell r="EF1" t="str">
            <v>26_女</v>
          </cell>
          <cell r="EG1" t="str">
            <v>27_女</v>
          </cell>
          <cell r="EH1" t="str">
            <v>28_女</v>
          </cell>
          <cell r="EI1" t="str">
            <v>29_女</v>
          </cell>
          <cell r="EJ1" t="str">
            <v>30_女</v>
          </cell>
          <cell r="EK1" t="str">
            <v>31_女</v>
          </cell>
          <cell r="EL1" t="str">
            <v>32_女</v>
          </cell>
          <cell r="EM1" t="str">
            <v>33_女</v>
          </cell>
          <cell r="EN1" t="str">
            <v>34_女</v>
          </cell>
          <cell r="EO1" t="str">
            <v>35_女</v>
          </cell>
          <cell r="EP1" t="str">
            <v>36_女</v>
          </cell>
          <cell r="EQ1" t="str">
            <v>37_女</v>
          </cell>
          <cell r="ER1" t="str">
            <v>38_女</v>
          </cell>
          <cell r="ES1" t="str">
            <v>39_女</v>
          </cell>
          <cell r="ET1" t="str">
            <v>40_女</v>
          </cell>
          <cell r="EU1" t="str">
            <v>41_女</v>
          </cell>
          <cell r="EV1" t="str">
            <v>42_女</v>
          </cell>
          <cell r="EW1" t="str">
            <v>43_女</v>
          </cell>
          <cell r="EX1" t="str">
            <v>44_女</v>
          </cell>
          <cell r="EY1" t="str">
            <v>45_女</v>
          </cell>
          <cell r="EZ1" t="str">
            <v>46_女</v>
          </cell>
          <cell r="FA1" t="str">
            <v>47_女</v>
          </cell>
          <cell r="FB1" t="str">
            <v>48_女</v>
          </cell>
          <cell r="FC1" t="str">
            <v>49_女</v>
          </cell>
          <cell r="FD1" t="str">
            <v>50_女</v>
          </cell>
          <cell r="FE1" t="str">
            <v>51_女</v>
          </cell>
          <cell r="FF1" t="str">
            <v>52_女</v>
          </cell>
          <cell r="FG1" t="str">
            <v>53_女</v>
          </cell>
          <cell r="FH1" t="str">
            <v>54_女</v>
          </cell>
          <cell r="FI1" t="str">
            <v>55_女</v>
          </cell>
          <cell r="FJ1" t="str">
            <v>56_女</v>
          </cell>
          <cell r="FK1" t="str">
            <v>57_女</v>
          </cell>
          <cell r="FL1" t="str">
            <v>58_女</v>
          </cell>
          <cell r="FM1" t="str">
            <v>59_女</v>
          </cell>
          <cell r="FN1" t="str">
            <v>60_女</v>
          </cell>
          <cell r="FO1" t="str">
            <v>61_女</v>
          </cell>
          <cell r="FP1" t="str">
            <v>62_女</v>
          </cell>
          <cell r="FQ1" t="str">
            <v>63_女</v>
          </cell>
          <cell r="FR1" t="str">
            <v>64_女</v>
          </cell>
          <cell r="FS1" t="str">
            <v>65_女</v>
          </cell>
          <cell r="FT1" t="str">
            <v>66_女</v>
          </cell>
          <cell r="FU1" t="str">
            <v>67_女</v>
          </cell>
          <cell r="FV1" t="str">
            <v>68_女</v>
          </cell>
          <cell r="FW1" t="str">
            <v>69_女</v>
          </cell>
          <cell r="FX1" t="str">
            <v>70_女</v>
          </cell>
          <cell r="FY1" t="str">
            <v>71_女</v>
          </cell>
          <cell r="FZ1" t="str">
            <v>72_女</v>
          </cell>
          <cell r="GA1" t="str">
            <v>73_女</v>
          </cell>
          <cell r="GB1" t="str">
            <v>74_女</v>
          </cell>
          <cell r="GC1" t="str">
            <v>75_女</v>
          </cell>
          <cell r="GD1" t="str">
            <v>76_女</v>
          </cell>
          <cell r="GE1" t="str">
            <v>77_女</v>
          </cell>
          <cell r="GF1" t="str">
            <v>78_女</v>
          </cell>
          <cell r="GG1" t="str">
            <v>79_女</v>
          </cell>
          <cell r="GH1" t="str">
            <v>80_女</v>
          </cell>
          <cell r="GI1" t="str">
            <v>81_女</v>
          </cell>
          <cell r="GJ1" t="str">
            <v>82_女</v>
          </cell>
          <cell r="GK1" t="str">
            <v>83_女</v>
          </cell>
          <cell r="GL1" t="str">
            <v>84_女</v>
          </cell>
          <cell r="GM1" t="str">
            <v>85_女</v>
          </cell>
          <cell r="GN1" t="str">
            <v>86_女</v>
          </cell>
          <cell r="GO1" t="str">
            <v>87_女</v>
          </cell>
          <cell r="GP1" t="str">
            <v>88_女</v>
          </cell>
          <cell r="GQ1" t="str">
            <v>89_女</v>
          </cell>
          <cell r="GR1" t="str">
            <v>90_女</v>
          </cell>
          <cell r="GS1" t="str">
            <v>91_女</v>
          </cell>
          <cell r="GT1" t="str">
            <v>92_女</v>
          </cell>
          <cell r="GU1" t="str">
            <v>93_女</v>
          </cell>
          <cell r="GV1" t="str">
            <v>94_女</v>
          </cell>
          <cell r="GW1" t="str">
            <v>95_女</v>
          </cell>
          <cell r="GX1" t="str">
            <v>96_女</v>
          </cell>
          <cell r="GY1" t="str">
            <v>97_女</v>
          </cell>
          <cell r="GZ1" t="str">
            <v>98_女</v>
          </cell>
          <cell r="HA1" t="str">
            <v>99_女</v>
          </cell>
          <cell r="HB1" t="str">
            <v>100_女</v>
          </cell>
          <cell r="HC1" t="str">
            <v>101_女</v>
          </cell>
          <cell r="HD1" t="str">
            <v>102_女</v>
          </cell>
          <cell r="HE1" t="str">
            <v>103_女</v>
          </cell>
          <cell r="HF1" t="str">
            <v>104_女</v>
          </cell>
          <cell r="HG1" t="str">
            <v>105_女</v>
          </cell>
          <cell r="HH1" t="str">
            <v>106_女</v>
          </cell>
          <cell r="HI1" t="str">
            <v>0_全体</v>
          </cell>
          <cell r="HJ1" t="str">
            <v>1_全体</v>
          </cell>
          <cell r="HK1" t="str">
            <v>2_全体</v>
          </cell>
          <cell r="HL1" t="str">
            <v>3_全体</v>
          </cell>
          <cell r="HM1" t="str">
            <v>4_全体</v>
          </cell>
          <cell r="HN1" t="str">
            <v>5_全体</v>
          </cell>
          <cell r="HO1" t="str">
            <v>6_全体</v>
          </cell>
          <cell r="HP1" t="str">
            <v>7_全体</v>
          </cell>
          <cell r="HQ1" t="str">
            <v>8_全体</v>
          </cell>
          <cell r="HR1" t="str">
            <v>9_全体</v>
          </cell>
          <cell r="HS1" t="str">
            <v>10_全体</v>
          </cell>
          <cell r="HT1" t="str">
            <v>11_全体</v>
          </cell>
          <cell r="HU1" t="str">
            <v>12_全体</v>
          </cell>
          <cell r="HV1" t="str">
            <v>13_全体</v>
          </cell>
          <cell r="HW1" t="str">
            <v>14_全体</v>
          </cell>
          <cell r="HX1" t="str">
            <v>15_全体</v>
          </cell>
          <cell r="HY1" t="str">
            <v>16_全体</v>
          </cell>
          <cell r="HZ1" t="str">
            <v>17_全体</v>
          </cell>
          <cell r="IA1" t="str">
            <v>18_全体</v>
          </cell>
          <cell r="IB1" t="str">
            <v>19_全体</v>
          </cell>
          <cell r="IC1" t="str">
            <v>20_全体</v>
          </cell>
          <cell r="ID1" t="str">
            <v>21_全体</v>
          </cell>
          <cell r="IE1" t="str">
            <v>22_全体</v>
          </cell>
          <cell r="IF1" t="str">
            <v>23_全体</v>
          </cell>
          <cell r="IG1" t="str">
            <v>24_全体</v>
          </cell>
          <cell r="IH1" t="str">
            <v>25_全体</v>
          </cell>
          <cell r="II1" t="str">
            <v>26_全体</v>
          </cell>
          <cell r="IJ1" t="str">
            <v>27_全体</v>
          </cell>
          <cell r="IK1" t="str">
            <v>28_全体</v>
          </cell>
          <cell r="IL1" t="str">
            <v>29_全体</v>
          </cell>
          <cell r="IM1" t="str">
            <v>30_全体</v>
          </cell>
          <cell r="IN1" t="str">
            <v>31_全体</v>
          </cell>
          <cell r="IO1" t="str">
            <v>32_全体</v>
          </cell>
          <cell r="IP1" t="str">
            <v>33_全体</v>
          </cell>
          <cell r="IQ1" t="str">
            <v>34_全体</v>
          </cell>
          <cell r="IR1" t="str">
            <v>35_全体</v>
          </cell>
          <cell r="IS1" t="str">
            <v>36_全体</v>
          </cell>
          <cell r="IT1" t="str">
            <v>37_全体</v>
          </cell>
          <cell r="IU1" t="str">
            <v>38_全体</v>
          </cell>
          <cell r="IV1" t="str">
            <v>39_全体</v>
          </cell>
          <cell r="IW1" t="str">
            <v>40_全体</v>
          </cell>
          <cell r="IX1" t="str">
            <v>41_全体</v>
          </cell>
          <cell r="IY1" t="str">
            <v>42_全体</v>
          </cell>
          <cell r="IZ1" t="str">
            <v>43_全体</v>
          </cell>
          <cell r="JA1" t="str">
            <v>44_全体</v>
          </cell>
          <cell r="JB1" t="str">
            <v>45_全体</v>
          </cell>
          <cell r="JC1" t="str">
            <v>46_全体</v>
          </cell>
          <cell r="JD1" t="str">
            <v>47_全体</v>
          </cell>
          <cell r="JE1" t="str">
            <v>48_全体</v>
          </cell>
          <cell r="JF1" t="str">
            <v>49_全体</v>
          </cell>
          <cell r="JG1" t="str">
            <v>50_全体</v>
          </cell>
          <cell r="JH1" t="str">
            <v>51_全体</v>
          </cell>
          <cell r="JI1" t="str">
            <v>52_全体</v>
          </cell>
          <cell r="JJ1" t="str">
            <v>53_全体</v>
          </cell>
          <cell r="JK1" t="str">
            <v>54_全体</v>
          </cell>
          <cell r="JL1" t="str">
            <v>55_全体</v>
          </cell>
          <cell r="JM1" t="str">
            <v>56_全体</v>
          </cell>
          <cell r="JN1" t="str">
            <v>57_全体</v>
          </cell>
          <cell r="JO1" t="str">
            <v>58_全体</v>
          </cell>
          <cell r="JP1" t="str">
            <v>59_全体</v>
          </cell>
          <cell r="JQ1" t="str">
            <v>60_全体</v>
          </cell>
          <cell r="JR1" t="str">
            <v>61_全体</v>
          </cell>
          <cell r="JS1" t="str">
            <v>62_全体</v>
          </cell>
          <cell r="JT1" t="str">
            <v>63_全体</v>
          </cell>
          <cell r="JU1" t="str">
            <v>64_全体</v>
          </cell>
          <cell r="JV1" t="str">
            <v>65_全体</v>
          </cell>
          <cell r="JW1" t="str">
            <v>66_全体</v>
          </cell>
          <cell r="JX1" t="str">
            <v>67_全体</v>
          </cell>
          <cell r="JY1" t="str">
            <v>68_全体</v>
          </cell>
          <cell r="JZ1" t="str">
            <v>69_全体</v>
          </cell>
          <cell r="KA1" t="str">
            <v>70_全体</v>
          </cell>
          <cell r="KB1" t="str">
            <v>71_全体</v>
          </cell>
          <cell r="KC1" t="str">
            <v>72_全体</v>
          </cell>
          <cell r="KD1" t="str">
            <v>73_全体</v>
          </cell>
          <cell r="KE1" t="str">
            <v>74_全体</v>
          </cell>
          <cell r="KF1" t="str">
            <v>75_全体</v>
          </cell>
          <cell r="KG1" t="str">
            <v>76_全体</v>
          </cell>
          <cell r="KH1" t="str">
            <v>77_全体</v>
          </cell>
          <cell r="KI1" t="str">
            <v>78_全体</v>
          </cell>
          <cell r="KJ1" t="str">
            <v>79_全体</v>
          </cell>
          <cell r="KK1" t="str">
            <v>80_全体</v>
          </cell>
          <cell r="KL1" t="str">
            <v>81_全体</v>
          </cell>
          <cell r="KM1" t="str">
            <v>82_全体</v>
          </cell>
          <cell r="KN1" t="str">
            <v>83_全体</v>
          </cell>
          <cell r="KO1" t="str">
            <v>84_全体</v>
          </cell>
          <cell r="KP1" t="str">
            <v>85_全体</v>
          </cell>
          <cell r="KQ1" t="str">
            <v>86_全体</v>
          </cell>
          <cell r="KR1" t="str">
            <v>87_全体</v>
          </cell>
          <cell r="KS1" t="str">
            <v>88_全体</v>
          </cell>
          <cell r="KT1" t="str">
            <v>89_全体</v>
          </cell>
          <cell r="KU1" t="str">
            <v>90_全体</v>
          </cell>
          <cell r="KV1" t="str">
            <v>91_全体</v>
          </cell>
          <cell r="KW1" t="str">
            <v>92_全体</v>
          </cell>
          <cell r="KX1" t="str">
            <v>93_全体</v>
          </cell>
          <cell r="KY1" t="str">
            <v>94_全体</v>
          </cell>
          <cell r="KZ1" t="str">
            <v>95_全体</v>
          </cell>
          <cell r="LA1" t="str">
            <v>96_全体</v>
          </cell>
          <cell r="LB1" t="str">
            <v>97_全体</v>
          </cell>
          <cell r="LC1" t="str">
            <v>98_全体</v>
          </cell>
          <cell r="LD1" t="str">
            <v>99_全体</v>
          </cell>
          <cell r="LE1" t="str">
            <v>100_全体</v>
          </cell>
          <cell r="LF1" t="str">
            <v>101_全体</v>
          </cell>
          <cell r="LG1" t="str">
            <v>102_全体</v>
          </cell>
          <cell r="LH1" t="str">
            <v>103_全体</v>
          </cell>
          <cell r="LI1" t="str">
            <v>104_全体</v>
          </cell>
          <cell r="LJ1" t="str">
            <v>105以上_全体</v>
          </cell>
          <cell r="LK1" t="str">
            <v>106_全体</v>
          </cell>
          <cell r="LL1" t="str">
            <v>年代0-4_男</v>
          </cell>
          <cell r="LM1" t="str">
            <v>年代5-9_男</v>
          </cell>
          <cell r="LN1" t="str">
            <v>年代10-14_男</v>
          </cell>
          <cell r="LO1" t="str">
            <v>年代15-19_男</v>
          </cell>
          <cell r="LP1" t="str">
            <v>年代20-24_男</v>
          </cell>
          <cell r="LQ1" t="str">
            <v>年代25-29_男</v>
          </cell>
          <cell r="LR1" t="str">
            <v>年代30-34_男</v>
          </cell>
          <cell r="LS1" t="str">
            <v>年代35-39_男</v>
          </cell>
          <cell r="LT1" t="str">
            <v>年代40-44_男</v>
          </cell>
          <cell r="LU1" t="str">
            <v>年代45-49_男</v>
          </cell>
          <cell r="LV1" t="str">
            <v>年代50-54_男</v>
          </cell>
          <cell r="LW1" t="str">
            <v>年代55-59_男</v>
          </cell>
          <cell r="LX1" t="str">
            <v>年代60-64_男</v>
          </cell>
          <cell r="LY1" t="str">
            <v>年代65-69_男</v>
          </cell>
          <cell r="LZ1" t="str">
            <v>年代70-74_男</v>
          </cell>
          <cell r="MA1" t="str">
            <v>年代75-79_男</v>
          </cell>
          <cell r="MB1" t="str">
            <v>年代80-84_男</v>
          </cell>
          <cell r="MC1" t="str">
            <v>年代85-89_男</v>
          </cell>
          <cell r="MD1" t="str">
            <v>年代90-94_男</v>
          </cell>
          <cell r="ME1" t="str">
            <v>年代95-99_男</v>
          </cell>
          <cell r="MF1" t="str">
            <v>年代100-104_男</v>
          </cell>
          <cell r="MG1" t="str">
            <v>年代0-4_女</v>
          </cell>
          <cell r="MH1" t="str">
            <v>年代5-9_女</v>
          </cell>
          <cell r="MI1" t="str">
            <v>年代10-14_女</v>
          </cell>
          <cell r="MJ1" t="str">
            <v>年代15-19_女</v>
          </cell>
          <cell r="MK1" t="str">
            <v>年代20-24_女</v>
          </cell>
          <cell r="ML1" t="str">
            <v>年代25-29_女</v>
          </cell>
          <cell r="MM1" t="str">
            <v>年代30-34_女</v>
          </cell>
          <cell r="MN1" t="str">
            <v>年代35-39_女</v>
          </cell>
          <cell r="MO1" t="str">
            <v>年代40-44_女</v>
          </cell>
          <cell r="MP1" t="str">
            <v>年代45-49_女</v>
          </cell>
          <cell r="MQ1" t="str">
            <v>年代50-54_女</v>
          </cell>
          <cell r="MR1" t="str">
            <v>年代55-59_女</v>
          </cell>
          <cell r="MS1" t="str">
            <v>年代60-64_女</v>
          </cell>
          <cell r="MT1" t="str">
            <v>年代65-69_女</v>
          </cell>
          <cell r="MU1" t="str">
            <v>年代70-74_女</v>
          </cell>
          <cell r="MV1" t="str">
            <v>年代75-79_女</v>
          </cell>
          <cell r="MW1" t="str">
            <v>年代80-84_女</v>
          </cell>
          <cell r="MX1" t="str">
            <v>年代85-89_女</v>
          </cell>
          <cell r="MY1" t="str">
            <v>年代90-94_女</v>
          </cell>
          <cell r="MZ1" t="str">
            <v>年代95-99_女</v>
          </cell>
          <cell r="NA1" t="str">
            <v>年代100-104_女</v>
          </cell>
          <cell r="NB1" t="str">
            <v>年代0-4_全体</v>
          </cell>
          <cell r="NC1" t="str">
            <v>年代5-9_全体</v>
          </cell>
          <cell r="ND1" t="str">
            <v>年代10-14_全体</v>
          </cell>
          <cell r="NE1" t="str">
            <v>年代15-19_全体</v>
          </cell>
          <cell r="NF1" t="str">
            <v>年代20-24_全体</v>
          </cell>
          <cell r="NG1" t="str">
            <v>年代25-29_全体</v>
          </cell>
          <cell r="NH1" t="str">
            <v>年代30-34_全体</v>
          </cell>
          <cell r="NI1" t="str">
            <v>年代35-39_全体</v>
          </cell>
          <cell r="NJ1" t="str">
            <v>年代40-44_全体</v>
          </cell>
          <cell r="NK1" t="str">
            <v>年代45-49_全体</v>
          </cell>
          <cell r="NL1" t="str">
            <v>年代50-54_全体</v>
          </cell>
          <cell r="NM1" t="str">
            <v>年代55-59_全体</v>
          </cell>
          <cell r="NN1" t="str">
            <v>年代60-64_全体</v>
          </cell>
          <cell r="NO1" t="str">
            <v>年代65-69_全体</v>
          </cell>
          <cell r="NP1" t="str">
            <v>年代70-74_全体</v>
          </cell>
          <cell r="NQ1" t="str">
            <v>年代75-79_全体</v>
          </cell>
          <cell r="NR1" t="str">
            <v>年代80-84_全体</v>
          </cell>
          <cell r="NS1" t="str">
            <v>年代85-89_全体</v>
          </cell>
          <cell r="NT1" t="str">
            <v>年代90-94_全体</v>
          </cell>
          <cell r="NU1" t="str">
            <v>年代95-99_全体</v>
          </cell>
          <cell r="NV1" t="str">
            <v>年代100-104_全体</v>
          </cell>
          <cell r="NW1" t="str">
            <v>年代105-109_全体</v>
          </cell>
          <cell r="NX1" t="str">
            <v>65以上_男</v>
          </cell>
          <cell r="NY1" t="str">
            <v>65以上_女</v>
          </cell>
          <cell r="NZ1" t="str">
            <v>65以上_全体</v>
          </cell>
          <cell r="OA1" t="str">
            <v>65以上_割合</v>
          </cell>
          <cell r="OB1" t="str">
            <v>合計_男</v>
          </cell>
          <cell r="OC1" t="str">
            <v>合計_女</v>
          </cell>
          <cell r="OD1" t="str">
            <v>合計_総合計</v>
          </cell>
          <cell r="OE1" t="str">
            <v>世帯数</v>
          </cell>
          <cell r="OF1" t="str">
            <v>平均_男</v>
          </cell>
          <cell r="OG1" t="str">
            <v>平均_女</v>
          </cell>
          <cell r="OH1" t="str">
            <v>平均_全体</v>
          </cell>
          <cell r="OI1" t="str">
            <v>作成日</v>
          </cell>
          <cell r="OJ1" t="str">
            <v>集計対象</v>
          </cell>
        </row>
        <row r="2">
          <cell r="A2" t="str">
            <v>大阪府摂津市</v>
          </cell>
          <cell r="B2" t="str">
            <v>全体</v>
          </cell>
          <cell r="C2" t="str">
            <v>令和元年 7月31日</v>
          </cell>
          <cell r="D2">
            <v>397</v>
          </cell>
          <cell r="E2">
            <v>401</v>
          </cell>
          <cell r="F2">
            <v>396</v>
          </cell>
          <cell r="G2">
            <v>436</v>
          </cell>
          <cell r="H2">
            <v>352</v>
          </cell>
          <cell r="I2">
            <v>376</v>
          </cell>
          <cell r="J2">
            <v>377</v>
          </cell>
          <cell r="K2">
            <v>351</v>
          </cell>
          <cell r="L2">
            <v>370</v>
          </cell>
          <cell r="M2">
            <v>400</v>
          </cell>
          <cell r="N2">
            <v>367</v>
          </cell>
          <cell r="O2">
            <v>338</v>
          </cell>
          <cell r="P2">
            <v>379</v>
          </cell>
          <cell r="Q2">
            <v>386</v>
          </cell>
          <cell r="R2">
            <v>408</v>
          </cell>
          <cell r="S2">
            <v>395</v>
          </cell>
          <cell r="T2">
            <v>368</v>
          </cell>
          <cell r="U2">
            <v>425</v>
          </cell>
          <cell r="V2">
            <v>449</v>
          </cell>
          <cell r="W2">
            <v>460</v>
          </cell>
          <cell r="X2">
            <v>475</v>
          </cell>
          <cell r="Y2">
            <v>492</v>
          </cell>
          <cell r="Z2">
            <v>461</v>
          </cell>
          <cell r="AA2">
            <v>500</v>
          </cell>
          <cell r="AB2">
            <v>489</v>
          </cell>
          <cell r="AC2">
            <v>530</v>
          </cell>
          <cell r="AD2">
            <v>514</v>
          </cell>
          <cell r="AE2">
            <v>508</v>
          </cell>
          <cell r="AF2">
            <v>533</v>
          </cell>
          <cell r="AG2">
            <v>509</v>
          </cell>
          <cell r="AH2">
            <v>555</v>
          </cell>
          <cell r="AI2">
            <v>595</v>
          </cell>
          <cell r="AJ2">
            <v>528</v>
          </cell>
          <cell r="AK2">
            <v>560</v>
          </cell>
          <cell r="AL2">
            <v>538</v>
          </cell>
          <cell r="AM2">
            <v>580</v>
          </cell>
          <cell r="AN2">
            <v>578</v>
          </cell>
          <cell r="AO2">
            <v>565</v>
          </cell>
          <cell r="AP2">
            <v>588</v>
          </cell>
          <cell r="AQ2">
            <v>557</v>
          </cell>
          <cell r="AR2">
            <v>581</v>
          </cell>
          <cell r="AS2">
            <v>636</v>
          </cell>
          <cell r="AT2">
            <v>609</v>
          </cell>
          <cell r="AU2">
            <v>731</v>
          </cell>
          <cell r="AV2">
            <v>723</v>
          </cell>
          <cell r="AW2">
            <v>830</v>
          </cell>
          <cell r="AX2">
            <v>891</v>
          </cell>
          <cell r="AY2">
            <v>796</v>
          </cell>
          <cell r="AZ2">
            <v>779</v>
          </cell>
          <cell r="BA2">
            <v>733</v>
          </cell>
          <cell r="BB2">
            <v>705</v>
          </cell>
          <cell r="BC2">
            <v>661</v>
          </cell>
          <cell r="BD2">
            <v>654</v>
          </cell>
          <cell r="BE2">
            <v>533</v>
          </cell>
          <cell r="BF2">
            <v>530</v>
          </cell>
          <cell r="BG2">
            <v>494</v>
          </cell>
          <cell r="BH2">
            <v>493</v>
          </cell>
          <cell r="BI2">
            <v>474</v>
          </cell>
          <cell r="BJ2">
            <v>423</v>
          </cell>
          <cell r="BK2">
            <v>416</v>
          </cell>
          <cell r="BL2">
            <v>441</v>
          </cell>
          <cell r="BM2">
            <v>411</v>
          </cell>
          <cell r="BN2">
            <v>408</v>
          </cell>
          <cell r="BO2">
            <v>395</v>
          </cell>
          <cell r="BP2">
            <v>454</v>
          </cell>
          <cell r="BQ2">
            <v>395</v>
          </cell>
          <cell r="BR2">
            <v>435</v>
          </cell>
          <cell r="BS2">
            <v>512</v>
          </cell>
          <cell r="BT2">
            <v>540</v>
          </cell>
          <cell r="BU2">
            <v>608</v>
          </cell>
          <cell r="BV2">
            <v>645</v>
          </cell>
          <cell r="BW2">
            <v>676</v>
          </cell>
          <cell r="BX2">
            <v>634</v>
          </cell>
          <cell r="BY2">
            <v>351</v>
          </cell>
          <cell r="BZ2">
            <v>430</v>
          </cell>
          <cell r="CA2">
            <v>525</v>
          </cell>
          <cell r="CB2">
            <v>472</v>
          </cell>
          <cell r="CC2">
            <v>515</v>
          </cell>
          <cell r="CD2">
            <v>475</v>
          </cell>
          <cell r="CE2">
            <v>384</v>
          </cell>
          <cell r="CF2">
            <v>329</v>
          </cell>
          <cell r="CG2">
            <v>312</v>
          </cell>
          <cell r="CH2">
            <v>284</v>
          </cell>
          <cell r="CI2">
            <v>283</v>
          </cell>
          <cell r="CJ2">
            <v>202</v>
          </cell>
          <cell r="CK2">
            <v>151</v>
          </cell>
          <cell r="CL2">
            <v>136</v>
          </cell>
          <cell r="CM2">
            <v>119</v>
          </cell>
          <cell r="CN2">
            <v>91</v>
          </cell>
          <cell r="CO2">
            <v>58</v>
          </cell>
          <cell r="CP2">
            <v>59</v>
          </cell>
          <cell r="CQ2">
            <v>48</v>
          </cell>
          <cell r="CR2">
            <v>34</v>
          </cell>
          <cell r="CS2">
            <v>19</v>
          </cell>
          <cell r="CT2">
            <v>16</v>
          </cell>
          <cell r="CU2">
            <v>7</v>
          </cell>
          <cell r="CV2">
            <v>7</v>
          </cell>
          <cell r="CW2">
            <v>7</v>
          </cell>
          <cell r="CX2">
            <v>3</v>
          </cell>
          <cell r="CY2">
            <v>2</v>
          </cell>
          <cell r="CZ2">
            <v>1</v>
          </cell>
          <cell r="DA2">
            <v>0</v>
          </cell>
          <cell r="DB2">
            <v>0</v>
          </cell>
          <cell r="DC2">
            <v>1</v>
          </cell>
          <cell r="DD2">
            <v>0</v>
          </cell>
          <cell r="DE2">
            <v>0</v>
          </cell>
          <cell r="DF2">
            <v>370</v>
          </cell>
          <cell r="DG2">
            <v>426</v>
          </cell>
          <cell r="DH2">
            <v>326</v>
          </cell>
          <cell r="DI2">
            <v>385</v>
          </cell>
          <cell r="DJ2">
            <v>364</v>
          </cell>
          <cell r="DK2">
            <v>381</v>
          </cell>
          <cell r="DL2">
            <v>306</v>
          </cell>
          <cell r="DM2">
            <v>395</v>
          </cell>
          <cell r="DN2">
            <v>333</v>
          </cell>
          <cell r="DO2">
            <v>366</v>
          </cell>
          <cell r="DP2">
            <v>353</v>
          </cell>
          <cell r="DQ2">
            <v>376</v>
          </cell>
          <cell r="DR2">
            <v>351</v>
          </cell>
          <cell r="DS2">
            <v>361</v>
          </cell>
          <cell r="DT2">
            <v>364</v>
          </cell>
          <cell r="DU2">
            <v>366</v>
          </cell>
          <cell r="DV2">
            <v>369</v>
          </cell>
          <cell r="DW2">
            <v>418</v>
          </cell>
          <cell r="DX2">
            <v>383</v>
          </cell>
          <cell r="DY2">
            <v>434</v>
          </cell>
          <cell r="DZ2">
            <v>430</v>
          </cell>
          <cell r="EA2">
            <v>412</v>
          </cell>
          <cell r="EB2">
            <v>493</v>
          </cell>
          <cell r="EC2">
            <v>480</v>
          </cell>
          <cell r="ED2">
            <v>441</v>
          </cell>
          <cell r="EE2">
            <v>432</v>
          </cell>
          <cell r="EF2">
            <v>476</v>
          </cell>
          <cell r="EG2">
            <v>477</v>
          </cell>
          <cell r="EH2">
            <v>522</v>
          </cell>
          <cell r="EI2">
            <v>545</v>
          </cell>
          <cell r="EJ2">
            <v>524</v>
          </cell>
          <cell r="EK2">
            <v>540</v>
          </cell>
          <cell r="EL2">
            <v>523</v>
          </cell>
          <cell r="EM2">
            <v>526</v>
          </cell>
          <cell r="EN2">
            <v>507</v>
          </cell>
          <cell r="EO2">
            <v>538</v>
          </cell>
          <cell r="EP2">
            <v>572</v>
          </cell>
          <cell r="EQ2">
            <v>553</v>
          </cell>
          <cell r="ER2">
            <v>518</v>
          </cell>
          <cell r="ES2">
            <v>557</v>
          </cell>
          <cell r="ET2">
            <v>548</v>
          </cell>
          <cell r="EU2">
            <v>593</v>
          </cell>
          <cell r="EV2">
            <v>576</v>
          </cell>
          <cell r="EW2">
            <v>656</v>
          </cell>
          <cell r="EX2">
            <v>683</v>
          </cell>
          <cell r="EY2">
            <v>735</v>
          </cell>
          <cell r="EZ2">
            <v>769</v>
          </cell>
          <cell r="FA2">
            <v>752</v>
          </cell>
          <cell r="FB2">
            <v>711</v>
          </cell>
          <cell r="FC2">
            <v>658</v>
          </cell>
          <cell r="FD2">
            <v>625</v>
          </cell>
          <cell r="FE2">
            <v>602</v>
          </cell>
          <cell r="FF2">
            <v>540</v>
          </cell>
          <cell r="FG2">
            <v>447</v>
          </cell>
          <cell r="FH2">
            <v>515</v>
          </cell>
          <cell r="FI2">
            <v>490</v>
          </cell>
          <cell r="FJ2">
            <v>429</v>
          </cell>
          <cell r="FK2">
            <v>425</v>
          </cell>
          <cell r="FL2">
            <v>421</v>
          </cell>
          <cell r="FM2">
            <v>401</v>
          </cell>
          <cell r="FN2">
            <v>403</v>
          </cell>
          <cell r="FO2">
            <v>397</v>
          </cell>
          <cell r="FP2">
            <v>409</v>
          </cell>
          <cell r="FQ2">
            <v>430</v>
          </cell>
          <cell r="FR2">
            <v>441</v>
          </cell>
          <cell r="FS2">
            <v>452</v>
          </cell>
          <cell r="FT2">
            <v>513</v>
          </cell>
          <cell r="FU2">
            <v>540</v>
          </cell>
          <cell r="FV2">
            <v>582</v>
          </cell>
          <cell r="FW2">
            <v>706</v>
          </cell>
          <cell r="FX2">
            <v>763</v>
          </cell>
          <cell r="FY2">
            <v>769</v>
          </cell>
          <cell r="FZ2">
            <v>718</v>
          </cell>
          <cell r="GA2">
            <v>425</v>
          </cell>
          <cell r="GB2">
            <v>532</v>
          </cell>
          <cell r="GC2">
            <v>600</v>
          </cell>
          <cell r="GD2">
            <v>640</v>
          </cell>
          <cell r="GE2">
            <v>627</v>
          </cell>
          <cell r="GF2">
            <v>566</v>
          </cell>
          <cell r="GG2">
            <v>473</v>
          </cell>
          <cell r="GH2">
            <v>366</v>
          </cell>
          <cell r="GI2">
            <v>390</v>
          </cell>
          <cell r="GJ2">
            <v>357</v>
          </cell>
          <cell r="GK2">
            <v>318</v>
          </cell>
          <cell r="GL2">
            <v>272</v>
          </cell>
          <cell r="GM2">
            <v>280</v>
          </cell>
          <cell r="GN2">
            <v>243</v>
          </cell>
          <cell r="GO2">
            <v>183</v>
          </cell>
          <cell r="GP2">
            <v>170</v>
          </cell>
          <cell r="GQ2">
            <v>143</v>
          </cell>
          <cell r="GR2">
            <v>146</v>
          </cell>
          <cell r="GS2">
            <v>102</v>
          </cell>
          <cell r="GT2">
            <v>101</v>
          </cell>
          <cell r="GU2">
            <v>76</v>
          </cell>
          <cell r="GV2">
            <v>64</v>
          </cell>
          <cell r="GW2">
            <v>51</v>
          </cell>
          <cell r="GX2">
            <v>30</v>
          </cell>
          <cell r="GY2">
            <v>35</v>
          </cell>
          <cell r="GZ2">
            <v>17</v>
          </cell>
          <cell r="HA2">
            <v>20</v>
          </cell>
          <cell r="HB2">
            <v>7</v>
          </cell>
          <cell r="HC2">
            <v>3</v>
          </cell>
          <cell r="HD2">
            <v>1</v>
          </cell>
          <cell r="HE2">
            <v>4</v>
          </cell>
          <cell r="HF2">
            <v>3</v>
          </cell>
          <cell r="HG2">
            <v>0</v>
          </cell>
          <cell r="HH2">
            <v>1</v>
          </cell>
          <cell r="HI2">
            <v>767</v>
          </cell>
          <cell r="HJ2">
            <v>827</v>
          </cell>
          <cell r="HK2">
            <v>722</v>
          </cell>
          <cell r="HL2">
            <v>821</v>
          </cell>
          <cell r="HM2">
            <v>716</v>
          </cell>
          <cell r="HN2">
            <v>757</v>
          </cell>
          <cell r="HO2">
            <v>683</v>
          </cell>
          <cell r="HP2">
            <v>746</v>
          </cell>
          <cell r="HQ2">
            <v>703</v>
          </cell>
          <cell r="HR2">
            <v>766</v>
          </cell>
          <cell r="HS2">
            <v>720</v>
          </cell>
          <cell r="HT2">
            <v>714</v>
          </cell>
          <cell r="HU2">
            <v>730</v>
          </cell>
          <cell r="HV2">
            <v>747</v>
          </cell>
          <cell r="HW2">
            <v>772</v>
          </cell>
          <cell r="HX2">
            <v>761</v>
          </cell>
          <cell r="HY2">
            <v>737</v>
          </cell>
          <cell r="HZ2">
            <v>843</v>
          </cell>
          <cell r="IA2">
            <v>832</v>
          </cell>
          <cell r="IB2">
            <v>894</v>
          </cell>
          <cell r="IC2">
            <v>905</v>
          </cell>
          <cell r="ID2">
            <v>904</v>
          </cell>
          <cell r="IE2">
            <v>954</v>
          </cell>
          <cell r="IF2">
            <v>980</v>
          </cell>
          <cell r="IG2">
            <v>930</v>
          </cell>
          <cell r="IH2">
            <v>962</v>
          </cell>
          <cell r="II2">
            <v>990</v>
          </cell>
          <cell r="IJ2">
            <v>985</v>
          </cell>
          <cell r="IK2">
            <v>1055</v>
          </cell>
          <cell r="IL2">
            <v>1054</v>
          </cell>
          <cell r="IM2">
            <v>1079</v>
          </cell>
          <cell r="IN2">
            <v>1135</v>
          </cell>
          <cell r="IO2">
            <v>1051</v>
          </cell>
          <cell r="IP2">
            <v>1086</v>
          </cell>
          <cell r="IQ2">
            <v>1045</v>
          </cell>
          <cell r="IR2">
            <v>1118</v>
          </cell>
          <cell r="IS2">
            <v>1150</v>
          </cell>
          <cell r="IT2">
            <v>1118</v>
          </cell>
          <cell r="IU2">
            <v>1106</v>
          </cell>
          <cell r="IV2">
            <v>1114</v>
          </cell>
          <cell r="IW2">
            <v>1129</v>
          </cell>
          <cell r="IX2">
            <v>1229</v>
          </cell>
          <cell r="IY2">
            <v>1185</v>
          </cell>
          <cell r="IZ2">
            <v>1387</v>
          </cell>
          <cell r="JA2">
            <v>1406</v>
          </cell>
          <cell r="JB2">
            <v>1565</v>
          </cell>
          <cell r="JC2">
            <v>1660</v>
          </cell>
          <cell r="JD2">
            <v>1548</v>
          </cell>
          <cell r="JE2">
            <v>1490</v>
          </cell>
          <cell r="JF2">
            <v>1391</v>
          </cell>
          <cell r="JG2">
            <v>1330</v>
          </cell>
          <cell r="JH2">
            <v>1263</v>
          </cell>
          <cell r="JI2">
            <v>1194</v>
          </cell>
          <cell r="JJ2">
            <v>980</v>
          </cell>
          <cell r="JK2">
            <v>1045</v>
          </cell>
          <cell r="JL2">
            <v>984</v>
          </cell>
          <cell r="JM2">
            <v>922</v>
          </cell>
          <cell r="JN2">
            <v>899</v>
          </cell>
          <cell r="JO2">
            <v>844</v>
          </cell>
          <cell r="JP2">
            <v>817</v>
          </cell>
          <cell r="JQ2">
            <v>844</v>
          </cell>
          <cell r="JR2">
            <v>808</v>
          </cell>
          <cell r="JS2">
            <v>817</v>
          </cell>
          <cell r="JT2">
            <v>825</v>
          </cell>
          <cell r="JU2">
            <v>895</v>
          </cell>
          <cell r="JV2">
            <v>847</v>
          </cell>
          <cell r="JW2">
            <v>948</v>
          </cell>
          <cell r="JX2">
            <v>1052</v>
          </cell>
          <cell r="JY2">
            <v>1122</v>
          </cell>
          <cell r="JZ2">
            <v>1314</v>
          </cell>
          <cell r="KA2">
            <v>1408</v>
          </cell>
          <cell r="KB2">
            <v>1445</v>
          </cell>
          <cell r="KC2">
            <v>1352</v>
          </cell>
          <cell r="KD2">
            <v>776</v>
          </cell>
          <cell r="KE2">
            <v>962</v>
          </cell>
          <cell r="KF2">
            <v>1125</v>
          </cell>
          <cell r="KG2">
            <v>1112</v>
          </cell>
          <cell r="KH2">
            <v>1142</v>
          </cell>
          <cell r="KI2">
            <v>1041</v>
          </cell>
          <cell r="KJ2">
            <v>857</v>
          </cell>
          <cell r="KK2">
            <v>695</v>
          </cell>
          <cell r="KL2">
            <v>702</v>
          </cell>
          <cell r="KM2">
            <v>641</v>
          </cell>
          <cell r="KN2">
            <v>601</v>
          </cell>
          <cell r="KO2">
            <v>474</v>
          </cell>
          <cell r="KP2">
            <v>431</v>
          </cell>
          <cell r="KQ2">
            <v>379</v>
          </cell>
          <cell r="KR2">
            <v>302</v>
          </cell>
          <cell r="KS2">
            <v>261</v>
          </cell>
          <cell r="KT2">
            <v>201</v>
          </cell>
          <cell r="KU2">
            <v>205</v>
          </cell>
          <cell r="KV2">
            <v>150</v>
          </cell>
          <cell r="KW2">
            <v>135</v>
          </cell>
          <cell r="KX2">
            <v>95</v>
          </cell>
          <cell r="KY2">
            <v>80</v>
          </cell>
          <cell r="KZ2">
            <v>58</v>
          </cell>
          <cell r="LA2">
            <v>37</v>
          </cell>
          <cell r="LB2">
            <v>42</v>
          </cell>
          <cell r="LC2">
            <v>20</v>
          </cell>
          <cell r="LD2">
            <v>22</v>
          </cell>
          <cell r="LE2">
            <v>8</v>
          </cell>
          <cell r="LF2">
            <v>3</v>
          </cell>
          <cell r="LG2">
            <v>1</v>
          </cell>
          <cell r="LH2">
            <v>5</v>
          </cell>
          <cell r="LI2">
            <v>3</v>
          </cell>
          <cell r="LJ2">
            <v>0</v>
          </cell>
          <cell r="LK2">
            <v>1</v>
          </cell>
          <cell r="LL2">
            <v>1982</v>
          </cell>
          <cell r="LM2">
            <v>1874</v>
          </cell>
          <cell r="LN2">
            <v>1878</v>
          </cell>
          <cell r="LO2">
            <v>2097</v>
          </cell>
          <cell r="LP2">
            <v>2417</v>
          </cell>
          <cell r="LQ2">
            <v>2594</v>
          </cell>
          <cell r="LR2">
            <v>2776</v>
          </cell>
          <cell r="LS2">
            <v>2868</v>
          </cell>
          <cell r="LT2">
            <v>3280</v>
          </cell>
          <cell r="LU2">
            <v>4029</v>
          </cell>
          <cell r="LV2">
            <v>3083</v>
          </cell>
          <cell r="LW2">
            <v>2300</v>
          </cell>
          <cell r="LX2">
            <v>2109</v>
          </cell>
          <cell r="LY2">
            <v>2490</v>
          </cell>
          <cell r="LZ2">
            <v>2736</v>
          </cell>
          <cell r="MA2">
            <v>2371</v>
          </cell>
          <cell r="MB2">
            <v>1410</v>
          </cell>
          <cell r="MC2">
            <v>555</v>
          </cell>
          <cell r="MD2">
            <v>176</v>
          </cell>
          <cell r="ME2">
            <v>26</v>
          </cell>
          <cell r="MF2">
            <v>2</v>
          </cell>
          <cell r="MG2">
            <v>1871</v>
          </cell>
          <cell r="MH2">
            <v>1781</v>
          </cell>
          <cell r="MI2">
            <v>1805</v>
          </cell>
          <cell r="MJ2">
            <v>1970</v>
          </cell>
          <cell r="MK2">
            <v>2256</v>
          </cell>
          <cell r="ML2">
            <v>2452</v>
          </cell>
          <cell r="MM2">
            <v>2620</v>
          </cell>
          <cell r="MN2">
            <v>2738</v>
          </cell>
          <cell r="MO2">
            <v>3056</v>
          </cell>
          <cell r="MP2">
            <v>3625</v>
          </cell>
          <cell r="MQ2">
            <v>2729</v>
          </cell>
          <cell r="MR2">
            <v>2166</v>
          </cell>
          <cell r="MS2">
            <v>2080</v>
          </cell>
          <cell r="MT2">
            <v>2793</v>
          </cell>
          <cell r="MU2">
            <v>3207</v>
          </cell>
          <cell r="MV2">
            <v>2906</v>
          </cell>
          <cell r="MW2">
            <v>1703</v>
          </cell>
          <cell r="MX2">
            <v>1019</v>
          </cell>
          <cell r="MY2">
            <v>489</v>
          </cell>
          <cell r="MZ2">
            <v>153</v>
          </cell>
          <cell r="NA2">
            <v>17</v>
          </cell>
          <cell r="NB2">
            <v>1</v>
          </cell>
          <cell r="NC2">
            <v>3853</v>
          </cell>
          <cell r="ND2">
            <v>3655</v>
          </cell>
          <cell r="NE2">
            <v>3683</v>
          </cell>
          <cell r="NF2">
            <v>4067</v>
          </cell>
          <cell r="NG2">
            <v>4673</v>
          </cell>
          <cell r="NH2">
            <v>5046</v>
          </cell>
          <cell r="NI2">
            <v>5396</v>
          </cell>
          <cell r="NJ2">
            <v>5606</v>
          </cell>
          <cell r="NK2">
            <v>6336</v>
          </cell>
          <cell r="NL2">
            <v>7654</v>
          </cell>
          <cell r="NM2">
            <v>5812</v>
          </cell>
          <cell r="NN2">
            <v>4466</v>
          </cell>
          <cell r="NO2">
            <v>4189</v>
          </cell>
          <cell r="NP2">
            <v>5283</v>
          </cell>
          <cell r="NQ2">
            <v>5943</v>
          </cell>
          <cell r="NR2">
            <v>5277</v>
          </cell>
          <cell r="NS2">
            <v>3113</v>
          </cell>
          <cell r="NT2">
            <v>1574</v>
          </cell>
          <cell r="NU2">
            <v>665</v>
          </cell>
          <cell r="NV2">
            <v>179</v>
          </cell>
          <cell r="NW2">
            <v>19</v>
          </cell>
          <cell r="NX2">
            <v>1</v>
          </cell>
          <cell r="NY2">
            <v>9766</v>
          </cell>
          <cell r="NZ2">
            <v>12289</v>
          </cell>
          <cell r="OA2">
            <v>22055</v>
          </cell>
          <cell r="OB2">
            <v>25.5</v>
          </cell>
          <cell r="OC2">
            <v>43053</v>
          </cell>
          <cell r="OD2">
            <v>43438</v>
          </cell>
          <cell r="OE2">
            <v>86491</v>
          </cell>
          <cell r="OF2">
            <v>41254</v>
          </cell>
          <cell r="OG2">
            <v>43</v>
          </cell>
          <cell r="OH2">
            <v>46</v>
          </cell>
          <cell r="OI2">
            <v>45</v>
          </cell>
          <cell r="OJ2" t="str">
            <v>令和元年 8月 2日</v>
          </cell>
          <cell r="OK2" t="str">
            <v>※外国人を含めた集計です。</v>
          </cell>
        </row>
      </sheetData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操作方法"/>
      <sheetName val="データ貼り付けシート"/>
      <sheetName val="印刷用シート"/>
      <sheetName val="ホームページ用シート"/>
    </sheetNames>
    <sheetDataSet>
      <sheetData sheetId="0"/>
      <sheetData sheetId="1">
        <row r="1">
          <cell r="A1" t="str">
            <v>自治体名</v>
          </cell>
          <cell r="B1" t="str">
            <v>集計区分</v>
          </cell>
          <cell r="C1" t="str">
            <v>基準日</v>
          </cell>
          <cell r="D1" t="str">
            <v>0_男</v>
          </cell>
          <cell r="E1" t="str">
            <v>1_男</v>
          </cell>
          <cell r="F1" t="str">
            <v>2_男</v>
          </cell>
          <cell r="G1" t="str">
            <v>3_男</v>
          </cell>
          <cell r="H1" t="str">
            <v>4_男</v>
          </cell>
          <cell r="I1" t="str">
            <v>5_男</v>
          </cell>
          <cell r="J1" t="str">
            <v>6_男</v>
          </cell>
          <cell r="K1" t="str">
            <v>7_男</v>
          </cell>
          <cell r="L1" t="str">
            <v>8_男</v>
          </cell>
          <cell r="M1" t="str">
            <v>9_男</v>
          </cell>
          <cell r="N1" t="str">
            <v>10_男</v>
          </cell>
          <cell r="O1" t="str">
            <v>11_男</v>
          </cell>
          <cell r="P1" t="str">
            <v>12_男</v>
          </cell>
          <cell r="Q1" t="str">
            <v>13_男</v>
          </cell>
          <cell r="R1" t="str">
            <v>14_男</v>
          </cell>
          <cell r="S1" t="str">
            <v>15_男</v>
          </cell>
          <cell r="T1" t="str">
            <v>16_男</v>
          </cell>
          <cell r="U1" t="str">
            <v>17_男</v>
          </cell>
          <cell r="V1" t="str">
            <v>18_男</v>
          </cell>
          <cell r="W1" t="str">
            <v>19_男</v>
          </cell>
          <cell r="X1" t="str">
            <v>20_男</v>
          </cell>
          <cell r="Y1" t="str">
            <v>21_男</v>
          </cell>
          <cell r="Z1" t="str">
            <v>22_男</v>
          </cell>
          <cell r="AA1" t="str">
            <v>23_男</v>
          </cell>
          <cell r="AB1" t="str">
            <v>24_男</v>
          </cell>
          <cell r="AC1" t="str">
            <v>25_男</v>
          </cell>
          <cell r="AD1" t="str">
            <v>26_男</v>
          </cell>
          <cell r="AE1" t="str">
            <v>27_男</v>
          </cell>
          <cell r="AF1" t="str">
            <v>28_男</v>
          </cell>
          <cell r="AG1" t="str">
            <v>29_男</v>
          </cell>
          <cell r="AH1" t="str">
            <v>30_男</v>
          </cell>
          <cell r="AI1" t="str">
            <v>31_男</v>
          </cell>
          <cell r="AJ1" t="str">
            <v>32_男</v>
          </cell>
          <cell r="AK1" t="str">
            <v>33_男</v>
          </cell>
          <cell r="AL1" t="str">
            <v>34_男</v>
          </cell>
          <cell r="AM1" t="str">
            <v>35_男</v>
          </cell>
          <cell r="AN1" t="str">
            <v>36_男</v>
          </cell>
          <cell r="AO1" t="str">
            <v>37_男</v>
          </cell>
          <cell r="AP1" t="str">
            <v>38_男</v>
          </cell>
          <cell r="AQ1" t="str">
            <v>39_男</v>
          </cell>
          <cell r="AR1" t="str">
            <v>40_男</v>
          </cell>
          <cell r="AS1" t="str">
            <v>41_男</v>
          </cell>
          <cell r="AT1" t="str">
            <v>42_男</v>
          </cell>
          <cell r="AU1" t="str">
            <v>43_男</v>
          </cell>
          <cell r="AV1" t="str">
            <v>44_男</v>
          </cell>
          <cell r="AW1" t="str">
            <v>45_男</v>
          </cell>
          <cell r="AX1" t="str">
            <v>46_男</v>
          </cell>
          <cell r="AY1" t="str">
            <v>47_男</v>
          </cell>
          <cell r="AZ1" t="str">
            <v>48_男</v>
          </cell>
          <cell r="BA1" t="str">
            <v>49_男</v>
          </cell>
          <cell r="BB1" t="str">
            <v>50_男</v>
          </cell>
          <cell r="BC1" t="str">
            <v>51_男</v>
          </cell>
          <cell r="BD1" t="str">
            <v>52_男</v>
          </cell>
          <cell r="BE1" t="str">
            <v>53_男</v>
          </cell>
          <cell r="BF1" t="str">
            <v>54_男</v>
          </cell>
          <cell r="BG1" t="str">
            <v>55_男</v>
          </cell>
          <cell r="BH1" t="str">
            <v>56_男</v>
          </cell>
          <cell r="BI1" t="str">
            <v>57_男</v>
          </cell>
          <cell r="BJ1" t="str">
            <v>58_男</v>
          </cell>
          <cell r="BK1" t="str">
            <v>59_男</v>
          </cell>
          <cell r="BL1" t="str">
            <v>60_男</v>
          </cell>
          <cell r="BM1" t="str">
            <v>61_男</v>
          </cell>
          <cell r="BN1" t="str">
            <v>62_男</v>
          </cell>
          <cell r="BO1" t="str">
            <v>63_男</v>
          </cell>
          <cell r="BP1" t="str">
            <v>64_男</v>
          </cell>
          <cell r="BQ1" t="str">
            <v>65_男</v>
          </cell>
          <cell r="BR1" t="str">
            <v>66_男</v>
          </cell>
          <cell r="BS1" t="str">
            <v>67_男</v>
          </cell>
          <cell r="BT1" t="str">
            <v>68_男</v>
          </cell>
          <cell r="BU1" t="str">
            <v>69_男</v>
          </cell>
          <cell r="BV1" t="str">
            <v>70_男</v>
          </cell>
          <cell r="BW1" t="str">
            <v>71_男</v>
          </cell>
          <cell r="BX1" t="str">
            <v>72_男</v>
          </cell>
          <cell r="BY1" t="str">
            <v>73_男</v>
          </cell>
          <cell r="BZ1" t="str">
            <v>74_男</v>
          </cell>
          <cell r="CA1" t="str">
            <v>75_男</v>
          </cell>
          <cell r="CB1" t="str">
            <v>76_男</v>
          </cell>
          <cell r="CC1" t="str">
            <v>77_男</v>
          </cell>
          <cell r="CD1" t="str">
            <v>78_男</v>
          </cell>
          <cell r="CE1" t="str">
            <v>79_男</v>
          </cell>
          <cell r="CF1" t="str">
            <v>80_男</v>
          </cell>
          <cell r="CG1" t="str">
            <v>81_男</v>
          </cell>
          <cell r="CH1" t="str">
            <v>82_男</v>
          </cell>
          <cell r="CI1" t="str">
            <v>83_男</v>
          </cell>
          <cell r="CJ1" t="str">
            <v>84_男</v>
          </cell>
          <cell r="CK1" t="str">
            <v>85_男</v>
          </cell>
          <cell r="CL1" t="str">
            <v>86_男</v>
          </cell>
          <cell r="CM1" t="str">
            <v>87_男</v>
          </cell>
          <cell r="CN1" t="str">
            <v>88_男</v>
          </cell>
          <cell r="CO1" t="str">
            <v>89_男</v>
          </cell>
          <cell r="CP1" t="str">
            <v>90_男</v>
          </cell>
          <cell r="CQ1" t="str">
            <v>91_男</v>
          </cell>
          <cell r="CR1" t="str">
            <v>92_男</v>
          </cell>
          <cell r="CS1" t="str">
            <v>93_男</v>
          </cell>
          <cell r="CT1" t="str">
            <v>94_男</v>
          </cell>
          <cell r="CU1" t="str">
            <v>95_男</v>
          </cell>
          <cell r="CV1" t="str">
            <v>96_男</v>
          </cell>
          <cell r="CW1" t="str">
            <v>97_男</v>
          </cell>
          <cell r="CX1" t="str">
            <v>98_男</v>
          </cell>
          <cell r="CY1" t="str">
            <v>99_男</v>
          </cell>
          <cell r="CZ1" t="str">
            <v>100_男</v>
          </cell>
          <cell r="DA1" t="str">
            <v>101_男</v>
          </cell>
          <cell r="DB1" t="str">
            <v>102_男</v>
          </cell>
          <cell r="DC1" t="str">
            <v>103_男</v>
          </cell>
          <cell r="DD1" t="str">
            <v>104_男</v>
          </cell>
          <cell r="DE1" t="str">
            <v>105以上_男</v>
          </cell>
          <cell r="DF1" t="str">
            <v>0_女</v>
          </cell>
          <cell r="DG1" t="str">
            <v>1_女</v>
          </cell>
          <cell r="DH1" t="str">
            <v>2_女</v>
          </cell>
          <cell r="DI1" t="str">
            <v>3_女</v>
          </cell>
          <cell r="DJ1" t="str">
            <v>4_女</v>
          </cell>
          <cell r="DK1" t="str">
            <v>5_女</v>
          </cell>
          <cell r="DL1" t="str">
            <v>6_女</v>
          </cell>
          <cell r="DM1" t="str">
            <v>7_女</v>
          </cell>
          <cell r="DN1" t="str">
            <v>8_女</v>
          </cell>
          <cell r="DO1" t="str">
            <v>9_女</v>
          </cell>
          <cell r="DP1" t="str">
            <v>10_女</v>
          </cell>
          <cell r="DQ1" t="str">
            <v>11_女</v>
          </cell>
          <cell r="DR1" t="str">
            <v>12_女</v>
          </cell>
          <cell r="DS1" t="str">
            <v>13_女</v>
          </cell>
          <cell r="DT1" t="str">
            <v>14_女</v>
          </cell>
          <cell r="DU1" t="str">
            <v>15_女</v>
          </cell>
          <cell r="DV1" t="str">
            <v>16_女</v>
          </cell>
          <cell r="DW1" t="str">
            <v>17_女</v>
          </cell>
          <cell r="DX1" t="str">
            <v>18_女</v>
          </cell>
          <cell r="DY1" t="str">
            <v>19_女</v>
          </cell>
          <cell r="DZ1" t="str">
            <v>20_女</v>
          </cell>
          <cell r="EA1" t="str">
            <v>21_女</v>
          </cell>
          <cell r="EB1" t="str">
            <v>22_女</v>
          </cell>
          <cell r="EC1" t="str">
            <v>23_女</v>
          </cell>
          <cell r="ED1" t="str">
            <v>24_女</v>
          </cell>
          <cell r="EE1" t="str">
            <v>25_女</v>
          </cell>
          <cell r="EF1" t="str">
            <v>26_女</v>
          </cell>
          <cell r="EG1" t="str">
            <v>27_女</v>
          </cell>
          <cell r="EH1" t="str">
            <v>28_女</v>
          </cell>
          <cell r="EI1" t="str">
            <v>29_女</v>
          </cell>
          <cell r="EJ1" t="str">
            <v>30_女</v>
          </cell>
          <cell r="EK1" t="str">
            <v>31_女</v>
          </cell>
          <cell r="EL1" t="str">
            <v>32_女</v>
          </cell>
          <cell r="EM1" t="str">
            <v>33_女</v>
          </cell>
          <cell r="EN1" t="str">
            <v>34_女</v>
          </cell>
          <cell r="EO1" t="str">
            <v>35_女</v>
          </cell>
          <cell r="EP1" t="str">
            <v>36_女</v>
          </cell>
          <cell r="EQ1" t="str">
            <v>37_女</v>
          </cell>
          <cell r="ER1" t="str">
            <v>38_女</v>
          </cell>
          <cell r="ES1" t="str">
            <v>39_女</v>
          </cell>
          <cell r="ET1" t="str">
            <v>40_女</v>
          </cell>
          <cell r="EU1" t="str">
            <v>41_女</v>
          </cell>
          <cell r="EV1" t="str">
            <v>42_女</v>
          </cell>
          <cell r="EW1" t="str">
            <v>43_女</v>
          </cell>
          <cell r="EX1" t="str">
            <v>44_女</v>
          </cell>
          <cell r="EY1" t="str">
            <v>45_女</v>
          </cell>
          <cell r="EZ1" t="str">
            <v>46_女</v>
          </cell>
          <cell r="FA1" t="str">
            <v>47_女</v>
          </cell>
          <cell r="FB1" t="str">
            <v>48_女</v>
          </cell>
          <cell r="FC1" t="str">
            <v>49_女</v>
          </cell>
          <cell r="FD1" t="str">
            <v>50_女</v>
          </cell>
          <cell r="FE1" t="str">
            <v>51_女</v>
          </cell>
          <cell r="FF1" t="str">
            <v>52_女</v>
          </cell>
          <cell r="FG1" t="str">
            <v>53_女</v>
          </cell>
          <cell r="FH1" t="str">
            <v>54_女</v>
          </cell>
          <cell r="FI1" t="str">
            <v>55_女</v>
          </cell>
          <cell r="FJ1" t="str">
            <v>56_女</v>
          </cell>
          <cell r="FK1" t="str">
            <v>57_女</v>
          </cell>
          <cell r="FL1" t="str">
            <v>58_女</v>
          </cell>
          <cell r="FM1" t="str">
            <v>59_女</v>
          </cell>
          <cell r="FN1" t="str">
            <v>60_女</v>
          </cell>
          <cell r="FO1" t="str">
            <v>61_女</v>
          </cell>
          <cell r="FP1" t="str">
            <v>62_女</v>
          </cell>
          <cell r="FQ1" t="str">
            <v>63_女</v>
          </cell>
          <cell r="FR1" t="str">
            <v>64_女</v>
          </cell>
          <cell r="FS1" t="str">
            <v>65_女</v>
          </cell>
          <cell r="FT1" t="str">
            <v>66_女</v>
          </cell>
          <cell r="FU1" t="str">
            <v>67_女</v>
          </cell>
          <cell r="FV1" t="str">
            <v>68_女</v>
          </cell>
          <cell r="FW1" t="str">
            <v>69_女</v>
          </cell>
          <cell r="FX1" t="str">
            <v>70_女</v>
          </cell>
          <cell r="FY1" t="str">
            <v>71_女</v>
          </cell>
          <cell r="FZ1" t="str">
            <v>72_女</v>
          </cell>
          <cell r="GA1" t="str">
            <v>73_女</v>
          </cell>
          <cell r="GB1" t="str">
            <v>74_女</v>
          </cell>
          <cell r="GC1" t="str">
            <v>75_女</v>
          </cell>
          <cell r="GD1" t="str">
            <v>76_女</v>
          </cell>
          <cell r="GE1" t="str">
            <v>77_女</v>
          </cell>
          <cell r="GF1" t="str">
            <v>78_女</v>
          </cell>
          <cell r="GG1" t="str">
            <v>79_女</v>
          </cell>
          <cell r="GH1" t="str">
            <v>80_女</v>
          </cell>
          <cell r="GI1" t="str">
            <v>81_女</v>
          </cell>
          <cell r="GJ1" t="str">
            <v>82_女</v>
          </cell>
          <cell r="GK1" t="str">
            <v>83_女</v>
          </cell>
          <cell r="GL1" t="str">
            <v>84_女</v>
          </cell>
          <cell r="GM1" t="str">
            <v>85_女</v>
          </cell>
          <cell r="GN1" t="str">
            <v>86_女</v>
          </cell>
          <cell r="GO1" t="str">
            <v>87_女</v>
          </cell>
          <cell r="GP1" t="str">
            <v>88_女</v>
          </cell>
          <cell r="GQ1" t="str">
            <v>89_女</v>
          </cell>
          <cell r="GR1" t="str">
            <v>90_女</v>
          </cell>
          <cell r="GS1" t="str">
            <v>91_女</v>
          </cell>
          <cell r="GT1" t="str">
            <v>92_女</v>
          </cell>
          <cell r="GU1" t="str">
            <v>93_女</v>
          </cell>
          <cell r="GV1" t="str">
            <v>94_女</v>
          </cell>
          <cell r="GW1" t="str">
            <v>95_女</v>
          </cell>
          <cell r="GX1" t="str">
            <v>96_女</v>
          </cell>
          <cell r="GY1" t="str">
            <v>97_女</v>
          </cell>
          <cell r="GZ1" t="str">
            <v>98_女</v>
          </cell>
          <cell r="HA1" t="str">
            <v>99_女</v>
          </cell>
          <cell r="HB1" t="str">
            <v>100_女</v>
          </cell>
          <cell r="HC1" t="str">
            <v>101_女</v>
          </cell>
          <cell r="HD1" t="str">
            <v>102_女</v>
          </cell>
          <cell r="HE1" t="str">
            <v>103_女</v>
          </cell>
          <cell r="HF1" t="str">
            <v>104_女</v>
          </cell>
          <cell r="HG1" t="str">
            <v>105_女</v>
          </cell>
          <cell r="HH1" t="str">
            <v>106以上_女</v>
          </cell>
          <cell r="HI1" t="str">
            <v>0_全体</v>
          </cell>
          <cell r="HJ1" t="str">
            <v>1_全体</v>
          </cell>
          <cell r="HK1" t="str">
            <v>2_全体</v>
          </cell>
          <cell r="HL1" t="str">
            <v>3_全体</v>
          </cell>
          <cell r="HM1" t="str">
            <v>4_全体</v>
          </cell>
          <cell r="HN1" t="str">
            <v>5_全体</v>
          </cell>
          <cell r="HO1" t="str">
            <v>6_全体</v>
          </cell>
          <cell r="HP1" t="str">
            <v>7_全体</v>
          </cell>
          <cell r="HQ1" t="str">
            <v>8_全体</v>
          </cell>
          <cell r="HR1" t="str">
            <v>9_全体</v>
          </cell>
          <cell r="HS1" t="str">
            <v>10_全体</v>
          </cell>
          <cell r="HT1" t="str">
            <v>11_全体</v>
          </cell>
          <cell r="HU1" t="str">
            <v>12_全体</v>
          </cell>
          <cell r="HV1" t="str">
            <v>13_全体</v>
          </cell>
          <cell r="HW1" t="str">
            <v>14_全体</v>
          </cell>
          <cell r="HX1" t="str">
            <v>15_全体</v>
          </cell>
          <cell r="HY1" t="str">
            <v>16_全体</v>
          </cell>
          <cell r="HZ1" t="str">
            <v>17_全体</v>
          </cell>
          <cell r="IA1" t="str">
            <v>18_全体</v>
          </cell>
          <cell r="IB1" t="str">
            <v>19_全体</v>
          </cell>
          <cell r="IC1" t="str">
            <v>20_全体</v>
          </cell>
          <cell r="ID1" t="str">
            <v>21_全体</v>
          </cell>
          <cell r="IE1" t="str">
            <v>22_全体</v>
          </cell>
          <cell r="IF1" t="str">
            <v>23_全体</v>
          </cell>
          <cell r="IG1" t="str">
            <v>24_全体</v>
          </cell>
          <cell r="IH1" t="str">
            <v>25_全体</v>
          </cell>
          <cell r="II1" t="str">
            <v>26_全体</v>
          </cell>
          <cell r="IJ1" t="str">
            <v>27_全体</v>
          </cell>
          <cell r="IK1" t="str">
            <v>28_全体</v>
          </cell>
          <cell r="IL1" t="str">
            <v>29_全体</v>
          </cell>
          <cell r="IM1" t="str">
            <v>30_全体</v>
          </cell>
          <cell r="IN1" t="str">
            <v>31_全体</v>
          </cell>
          <cell r="IO1" t="str">
            <v>32_全体</v>
          </cell>
          <cell r="IP1" t="str">
            <v>33_全体</v>
          </cell>
          <cell r="IQ1" t="str">
            <v>34_全体</v>
          </cell>
          <cell r="IR1" t="str">
            <v>35_全体</v>
          </cell>
          <cell r="IS1" t="str">
            <v>36_全体</v>
          </cell>
          <cell r="IT1" t="str">
            <v>37_全体</v>
          </cell>
          <cell r="IU1" t="str">
            <v>38_全体</v>
          </cell>
          <cell r="IV1" t="str">
            <v>39_全体</v>
          </cell>
          <cell r="IW1" t="str">
            <v>40_全体</v>
          </cell>
          <cell r="IX1" t="str">
            <v>41_全体</v>
          </cell>
          <cell r="IY1" t="str">
            <v>42_全体</v>
          </cell>
          <cell r="IZ1" t="str">
            <v>43_全体</v>
          </cell>
          <cell r="JA1" t="str">
            <v>44_全体</v>
          </cell>
          <cell r="JB1" t="str">
            <v>45_全体</v>
          </cell>
          <cell r="JC1" t="str">
            <v>46_全体</v>
          </cell>
          <cell r="JD1" t="str">
            <v>47_全体</v>
          </cell>
          <cell r="JE1" t="str">
            <v>48_全体</v>
          </cell>
          <cell r="JF1" t="str">
            <v>49_全体</v>
          </cell>
          <cell r="JG1" t="str">
            <v>50_全体</v>
          </cell>
          <cell r="JH1" t="str">
            <v>51_全体</v>
          </cell>
          <cell r="JI1" t="str">
            <v>52_全体</v>
          </cell>
          <cell r="JJ1" t="str">
            <v>53_全体</v>
          </cell>
          <cell r="JK1" t="str">
            <v>54_全体</v>
          </cell>
          <cell r="JL1" t="str">
            <v>55_全体</v>
          </cell>
          <cell r="JM1" t="str">
            <v>56_全体</v>
          </cell>
          <cell r="JN1" t="str">
            <v>57_全体</v>
          </cell>
          <cell r="JO1" t="str">
            <v>58_全体</v>
          </cell>
          <cell r="JP1" t="str">
            <v>59_全体</v>
          </cell>
          <cell r="JQ1" t="str">
            <v>60_全体</v>
          </cell>
          <cell r="JR1" t="str">
            <v>61_全体</v>
          </cell>
          <cell r="JS1" t="str">
            <v>62_全体</v>
          </cell>
          <cell r="JT1" t="str">
            <v>63_全体</v>
          </cell>
          <cell r="JU1" t="str">
            <v>64_全体</v>
          </cell>
          <cell r="JV1" t="str">
            <v>65_全体</v>
          </cell>
          <cell r="JW1" t="str">
            <v>66_全体</v>
          </cell>
          <cell r="JX1" t="str">
            <v>67_全体</v>
          </cell>
          <cell r="JY1" t="str">
            <v>68_全体</v>
          </cell>
          <cell r="JZ1" t="str">
            <v>69_全体</v>
          </cell>
          <cell r="KA1" t="str">
            <v>70_全体</v>
          </cell>
          <cell r="KB1" t="str">
            <v>71_全体</v>
          </cell>
          <cell r="KC1" t="str">
            <v>72_全体</v>
          </cell>
          <cell r="KD1" t="str">
            <v>73_全体</v>
          </cell>
          <cell r="KE1" t="str">
            <v>74_全体</v>
          </cell>
          <cell r="KF1" t="str">
            <v>75_全体</v>
          </cell>
          <cell r="KG1" t="str">
            <v>76_全体</v>
          </cell>
          <cell r="KH1" t="str">
            <v>77_全体</v>
          </cell>
          <cell r="KI1" t="str">
            <v>78_全体</v>
          </cell>
          <cell r="KJ1" t="str">
            <v>79_全体</v>
          </cell>
          <cell r="KK1" t="str">
            <v>80_全体</v>
          </cell>
          <cell r="KL1" t="str">
            <v>81_全体</v>
          </cell>
          <cell r="KM1" t="str">
            <v>82_全体</v>
          </cell>
          <cell r="KN1" t="str">
            <v>83_全体</v>
          </cell>
          <cell r="KO1" t="str">
            <v>84_全体</v>
          </cell>
          <cell r="KP1" t="str">
            <v>85_全体</v>
          </cell>
          <cell r="KQ1" t="str">
            <v>86_全体</v>
          </cell>
          <cell r="KR1" t="str">
            <v>87_全体</v>
          </cell>
          <cell r="KS1" t="str">
            <v>88_全体</v>
          </cell>
          <cell r="KT1" t="str">
            <v>89_全体</v>
          </cell>
          <cell r="KU1" t="str">
            <v>90_全体</v>
          </cell>
          <cell r="KV1" t="str">
            <v>91_全体</v>
          </cell>
          <cell r="KW1" t="str">
            <v>92_全体</v>
          </cell>
          <cell r="KX1" t="str">
            <v>93_全体</v>
          </cell>
          <cell r="KY1" t="str">
            <v>94_全体</v>
          </cell>
          <cell r="KZ1" t="str">
            <v>95_全体</v>
          </cell>
          <cell r="LA1" t="str">
            <v>96_全体</v>
          </cell>
          <cell r="LB1" t="str">
            <v>97_全体</v>
          </cell>
          <cell r="LC1" t="str">
            <v>98_全体</v>
          </cell>
          <cell r="LD1" t="str">
            <v>99_全体</v>
          </cell>
          <cell r="LE1" t="str">
            <v>100_全体</v>
          </cell>
          <cell r="LF1" t="str">
            <v>101_全体</v>
          </cell>
          <cell r="LG1" t="str">
            <v>102_全体</v>
          </cell>
          <cell r="LH1" t="str">
            <v>103_全体</v>
          </cell>
          <cell r="LI1" t="str">
            <v>104_全体</v>
          </cell>
          <cell r="LJ1" t="str">
            <v>105_全体</v>
          </cell>
          <cell r="LK1" t="str">
            <v>106以上_全体</v>
          </cell>
          <cell r="LL1" t="str">
            <v>年代0-4_男</v>
          </cell>
          <cell r="LM1" t="str">
            <v>年代5-9_男</v>
          </cell>
          <cell r="LN1" t="str">
            <v>年代10-14_男</v>
          </cell>
          <cell r="LO1" t="str">
            <v>年代15-19_男</v>
          </cell>
          <cell r="LP1" t="str">
            <v>年代20-24_男</v>
          </cell>
          <cell r="LQ1" t="str">
            <v>年代25-29_男</v>
          </cell>
          <cell r="LR1" t="str">
            <v>年代30-34_男</v>
          </cell>
          <cell r="LS1" t="str">
            <v>年代35-39_男</v>
          </cell>
          <cell r="LT1" t="str">
            <v>年代40-44_男</v>
          </cell>
          <cell r="LU1" t="str">
            <v>年代45-49_男</v>
          </cell>
          <cell r="LV1" t="str">
            <v>年代50-54_男</v>
          </cell>
          <cell r="LW1" t="str">
            <v>年代55-59_男</v>
          </cell>
          <cell r="LX1" t="str">
            <v>年代60-64_男</v>
          </cell>
          <cell r="LY1" t="str">
            <v>年代65-69_男</v>
          </cell>
          <cell r="LZ1" t="str">
            <v>年代70-74_男</v>
          </cell>
          <cell r="MA1" t="str">
            <v>年代75-79_男</v>
          </cell>
          <cell r="MB1" t="str">
            <v>年代80-84_男</v>
          </cell>
          <cell r="MC1" t="str">
            <v>年代85-89_男</v>
          </cell>
          <cell r="MD1" t="str">
            <v>年代90-94_男</v>
          </cell>
          <cell r="ME1" t="str">
            <v>年代95-99_男</v>
          </cell>
          <cell r="MF1" t="str">
            <v>年代100-104_男</v>
          </cell>
          <cell r="MG1" t="str">
            <v>年代0-4_女</v>
          </cell>
          <cell r="MH1" t="str">
            <v>年代5-9_女</v>
          </cell>
          <cell r="MI1" t="str">
            <v>年代10-14_女</v>
          </cell>
          <cell r="MJ1" t="str">
            <v>年代15-19_女</v>
          </cell>
          <cell r="MK1" t="str">
            <v>年代20-24_女</v>
          </cell>
          <cell r="ML1" t="str">
            <v>年代25-29_女</v>
          </cell>
          <cell r="MM1" t="str">
            <v>年代30-34_女</v>
          </cell>
          <cell r="MN1" t="str">
            <v>年代35-39_女</v>
          </cell>
          <cell r="MO1" t="str">
            <v>年代40-44_女</v>
          </cell>
          <cell r="MP1" t="str">
            <v>年代45-49_女</v>
          </cell>
          <cell r="MQ1" t="str">
            <v>年代50-54_女</v>
          </cell>
          <cell r="MR1" t="str">
            <v>年代55-59_女</v>
          </cell>
          <cell r="MS1" t="str">
            <v>年代60-64_女</v>
          </cell>
          <cell r="MT1" t="str">
            <v>年代65-69_女</v>
          </cell>
          <cell r="MU1" t="str">
            <v>年代70-74_女</v>
          </cell>
          <cell r="MV1" t="str">
            <v>年代75-79_女</v>
          </cell>
          <cell r="MW1" t="str">
            <v>年代80-84_女</v>
          </cell>
          <cell r="MX1" t="str">
            <v>年代85-89_女</v>
          </cell>
          <cell r="MY1" t="str">
            <v>年代90-94_女</v>
          </cell>
          <cell r="MZ1" t="str">
            <v>年代95-99_女</v>
          </cell>
          <cell r="NA1" t="str">
            <v>年代100-104_女</v>
          </cell>
          <cell r="NB1" t="str">
            <v>年代105-109_女</v>
          </cell>
          <cell r="NC1" t="str">
            <v>年代0-4_全体</v>
          </cell>
          <cell r="ND1" t="str">
            <v>年代5-9_全体</v>
          </cell>
          <cell r="NE1" t="str">
            <v>年代10-14_全体</v>
          </cell>
          <cell r="NF1" t="str">
            <v>年代15-19_全体</v>
          </cell>
          <cell r="NG1" t="str">
            <v>年代20-24_全体</v>
          </cell>
          <cell r="NH1" t="str">
            <v>年代25-29_全体</v>
          </cell>
          <cell r="NI1" t="str">
            <v>年代30-34_全体</v>
          </cell>
          <cell r="NJ1" t="str">
            <v>年代35-39_全体</v>
          </cell>
          <cell r="NK1" t="str">
            <v>年代40-44_全体</v>
          </cell>
          <cell r="NL1" t="str">
            <v>年代45-49_全体</v>
          </cell>
          <cell r="NM1" t="str">
            <v>年代50-54_全体</v>
          </cell>
          <cell r="NN1" t="str">
            <v>年代55-59_全体</v>
          </cell>
          <cell r="NO1" t="str">
            <v>年代60-64_全体</v>
          </cell>
          <cell r="NP1" t="str">
            <v>年代65-69_全体</v>
          </cell>
          <cell r="NQ1" t="str">
            <v>年代70-74_全体</v>
          </cell>
          <cell r="NR1" t="str">
            <v>年代75-79_全体</v>
          </cell>
          <cell r="NS1" t="str">
            <v>年代80-84_全体</v>
          </cell>
          <cell r="NT1" t="str">
            <v>年代85-89_全体</v>
          </cell>
          <cell r="NU1" t="str">
            <v>年代90-94_全体</v>
          </cell>
          <cell r="NV1" t="str">
            <v>年代95-99_全体</v>
          </cell>
          <cell r="NW1" t="str">
            <v>年代100-104_全体</v>
          </cell>
          <cell r="NX1" t="str">
            <v>年代105-109_全体</v>
          </cell>
          <cell r="NY1" t="str">
            <v>65以上_男</v>
          </cell>
          <cell r="NZ1" t="str">
            <v>65以上_女</v>
          </cell>
          <cell r="OA1" t="str">
            <v>65以上_全体</v>
          </cell>
          <cell r="OB1" t="str">
            <v>65以上_割合</v>
          </cell>
          <cell r="OC1" t="str">
            <v>合計_男</v>
          </cell>
          <cell r="OD1" t="str">
            <v>合計_女</v>
          </cell>
          <cell r="OE1" t="str">
            <v>合計_総合計</v>
          </cell>
          <cell r="OF1" t="str">
            <v>世帯数</v>
          </cell>
          <cell r="OG1" t="str">
            <v>平均_男</v>
          </cell>
          <cell r="OH1" t="str">
            <v>平均_女</v>
          </cell>
          <cell r="OI1" t="str">
            <v>平均_全体</v>
          </cell>
          <cell r="OJ1" t="str">
            <v>作成日</v>
          </cell>
          <cell r="OK1" t="str">
            <v>集計対象</v>
          </cell>
        </row>
        <row r="2">
          <cell r="A2" t="str">
            <v>大阪府摂津市</v>
          </cell>
          <cell r="B2" t="str">
            <v>全体</v>
          </cell>
          <cell r="C2" t="str">
            <v>令和元年 8月31日</v>
          </cell>
          <cell r="D2">
            <v>406</v>
          </cell>
          <cell r="E2">
            <v>401</v>
          </cell>
          <cell r="F2">
            <v>391</v>
          </cell>
          <cell r="G2">
            <v>429</v>
          </cell>
          <cell r="H2">
            <v>356</v>
          </cell>
          <cell r="I2">
            <v>381</v>
          </cell>
          <cell r="J2">
            <v>372</v>
          </cell>
          <cell r="K2">
            <v>345</v>
          </cell>
          <cell r="L2">
            <v>377</v>
          </cell>
          <cell r="M2">
            <v>383</v>
          </cell>
          <cell r="N2">
            <v>389</v>
          </cell>
          <cell r="O2">
            <v>327</v>
          </cell>
          <cell r="P2">
            <v>383</v>
          </cell>
          <cell r="Q2">
            <v>389</v>
          </cell>
          <cell r="R2">
            <v>405</v>
          </cell>
          <cell r="S2">
            <v>392</v>
          </cell>
          <cell r="T2">
            <v>362</v>
          </cell>
          <cell r="U2">
            <v>427</v>
          </cell>
          <cell r="V2">
            <v>444</v>
          </cell>
          <cell r="W2">
            <v>465</v>
          </cell>
          <cell r="X2">
            <v>479</v>
          </cell>
          <cell r="Y2">
            <v>467</v>
          </cell>
          <cell r="Z2">
            <v>485</v>
          </cell>
          <cell r="AA2">
            <v>507</v>
          </cell>
          <cell r="AB2">
            <v>483</v>
          </cell>
          <cell r="AC2">
            <v>530</v>
          </cell>
          <cell r="AD2">
            <v>527</v>
          </cell>
          <cell r="AE2">
            <v>491</v>
          </cell>
          <cell r="AF2">
            <v>535</v>
          </cell>
          <cell r="AG2">
            <v>535</v>
          </cell>
          <cell r="AH2">
            <v>537</v>
          </cell>
          <cell r="AI2">
            <v>588</v>
          </cell>
          <cell r="AJ2">
            <v>539</v>
          </cell>
          <cell r="AK2">
            <v>540</v>
          </cell>
          <cell r="AL2">
            <v>554</v>
          </cell>
          <cell r="AM2">
            <v>575</v>
          </cell>
          <cell r="AN2">
            <v>595</v>
          </cell>
          <cell r="AO2">
            <v>562</v>
          </cell>
          <cell r="AP2">
            <v>590</v>
          </cell>
          <cell r="AQ2">
            <v>556</v>
          </cell>
          <cell r="AR2">
            <v>568</v>
          </cell>
          <cell r="AS2">
            <v>637</v>
          </cell>
          <cell r="AT2">
            <v>614</v>
          </cell>
          <cell r="AU2">
            <v>722</v>
          </cell>
          <cell r="AV2">
            <v>707</v>
          </cell>
          <cell r="AW2">
            <v>841</v>
          </cell>
          <cell r="AX2">
            <v>878</v>
          </cell>
          <cell r="AY2">
            <v>804</v>
          </cell>
          <cell r="AZ2">
            <v>780</v>
          </cell>
          <cell r="BA2">
            <v>745</v>
          </cell>
          <cell r="BB2">
            <v>701</v>
          </cell>
          <cell r="BC2">
            <v>668</v>
          </cell>
          <cell r="BD2">
            <v>672</v>
          </cell>
          <cell r="BE2">
            <v>530</v>
          </cell>
          <cell r="BF2">
            <v>528</v>
          </cell>
          <cell r="BG2">
            <v>499</v>
          </cell>
          <cell r="BH2">
            <v>495</v>
          </cell>
          <cell r="BI2">
            <v>472</v>
          </cell>
          <cell r="BJ2">
            <v>436</v>
          </cell>
          <cell r="BK2">
            <v>401</v>
          </cell>
          <cell r="BL2">
            <v>451</v>
          </cell>
          <cell r="BM2">
            <v>407</v>
          </cell>
          <cell r="BN2">
            <v>406</v>
          </cell>
          <cell r="BO2">
            <v>406</v>
          </cell>
          <cell r="BP2">
            <v>441</v>
          </cell>
          <cell r="BQ2">
            <v>391</v>
          </cell>
          <cell r="BR2">
            <v>445</v>
          </cell>
          <cell r="BS2">
            <v>498</v>
          </cell>
          <cell r="BT2">
            <v>537</v>
          </cell>
          <cell r="BU2">
            <v>605</v>
          </cell>
          <cell r="BV2">
            <v>644</v>
          </cell>
          <cell r="BW2">
            <v>671</v>
          </cell>
          <cell r="BX2">
            <v>657</v>
          </cell>
          <cell r="BY2">
            <v>338</v>
          </cell>
          <cell r="BZ2">
            <v>421</v>
          </cell>
          <cell r="CA2">
            <v>530</v>
          </cell>
          <cell r="CB2">
            <v>481</v>
          </cell>
          <cell r="CC2">
            <v>513</v>
          </cell>
          <cell r="CD2">
            <v>478</v>
          </cell>
          <cell r="CE2">
            <v>387</v>
          </cell>
          <cell r="CF2">
            <v>337</v>
          </cell>
          <cell r="CG2">
            <v>309</v>
          </cell>
          <cell r="CH2">
            <v>282</v>
          </cell>
          <cell r="CI2">
            <v>282</v>
          </cell>
          <cell r="CJ2">
            <v>205</v>
          </cell>
          <cell r="CK2">
            <v>152</v>
          </cell>
          <cell r="CL2">
            <v>130</v>
          </cell>
          <cell r="CM2">
            <v>126</v>
          </cell>
          <cell r="CN2">
            <v>94</v>
          </cell>
          <cell r="CO2">
            <v>56</v>
          </cell>
          <cell r="CP2">
            <v>60</v>
          </cell>
          <cell r="CQ2">
            <v>41</v>
          </cell>
          <cell r="CR2">
            <v>36</v>
          </cell>
          <cell r="CS2">
            <v>21</v>
          </cell>
          <cell r="CT2">
            <v>15</v>
          </cell>
          <cell r="CU2">
            <v>8</v>
          </cell>
          <cell r="CV2">
            <v>7</v>
          </cell>
          <cell r="CW2">
            <v>6</v>
          </cell>
          <cell r="CX2">
            <v>2</v>
          </cell>
          <cell r="CY2">
            <v>3</v>
          </cell>
          <cell r="CZ2">
            <v>1</v>
          </cell>
          <cell r="DA2">
            <v>0</v>
          </cell>
          <cell r="DB2">
            <v>0</v>
          </cell>
          <cell r="DC2">
            <v>1</v>
          </cell>
          <cell r="DD2">
            <v>0</v>
          </cell>
          <cell r="DE2">
            <v>0</v>
          </cell>
          <cell r="DF2">
            <v>363</v>
          </cell>
          <cell r="DG2">
            <v>429</v>
          </cell>
          <cell r="DH2">
            <v>329</v>
          </cell>
          <cell r="DI2">
            <v>380</v>
          </cell>
          <cell r="DJ2">
            <v>367</v>
          </cell>
          <cell r="DK2">
            <v>381</v>
          </cell>
          <cell r="DL2">
            <v>300</v>
          </cell>
          <cell r="DM2">
            <v>376</v>
          </cell>
          <cell r="DN2">
            <v>351</v>
          </cell>
          <cell r="DO2">
            <v>365</v>
          </cell>
          <cell r="DP2">
            <v>349</v>
          </cell>
          <cell r="DQ2">
            <v>369</v>
          </cell>
          <cell r="DR2">
            <v>365</v>
          </cell>
          <cell r="DS2">
            <v>351</v>
          </cell>
          <cell r="DT2">
            <v>370</v>
          </cell>
          <cell r="DU2">
            <v>367</v>
          </cell>
          <cell r="DV2">
            <v>360</v>
          </cell>
          <cell r="DW2">
            <v>424</v>
          </cell>
          <cell r="DX2">
            <v>370</v>
          </cell>
          <cell r="DY2">
            <v>448</v>
          </cell>
          <cell r="DZ2">
            <v>426</v>
          </cell>
          <cell r="EA2">
            <v>405</v>
          </cell>
          <cell r="EB2">
            <v>489</v>
          </cell>
          <cell r="EC2">
            <v>472</v>
          </cell>
          <cell r="ED2">
            <v>429</v>
          </cell>
          <cell r="EE2">
            <v>426</v>
          </cell>
          <cell r="EF2">
            <v>476</v>
          </cell>
          <cell r="EG2">
            <v>483</v>
          </cell>
          <cell r="EH2">
            <v>514</v>
          </cell>
          <cell r="EI2">
            <v>541</v>
          </cell>
          <cell r="EJ2">
            <v>519</v>
          </cell>
          <cell r="EK2">
            <v>529</v>
          </cell>
          <cell r="EL2">
            <v>550</v>
          </cell>
          <cell r="EM2">
            <v>525</v>
          </cell>
          <cell r="EN2">
            <v>505</v>
          </cell>
          <cell r="EO2">
            <v>524</v>
          </cell>
          <cell r="EP2">
            <v>566</v>
          </cell>
          <cell r="EQ2">
            <v>569</v>
          </cell>
          <cell r="ER2">
            <v>518</v>
          </cell>
          <cell r="ES2">
            <v>556</v>
          </cell>
          <cell r="ET2">
            <v>550</v>
          </cell>
          <cell r="EU2">
            <v>588</v>
          </cell>
          <cell r="EV2">
            <v>579</v>
          </cell>
          <cell r="EW2">
            <v>660</v>
          </cell>
          <cell r="EX2">
            <v>665</v>
          </cell>
          <cell r="EY2">
            <v>744</v>
          </cell>
          <cell r="EZ2">
            <v>762</v>
          </cell>
          <cell r="FA2">
            <v>753</v>
          </cell>
          <cell r="FB2">
            <v>720</v>
          </cell>
          <cell r="FC2">
            <v>669</v>
          </cell>
          <cell r="FD2">
            <v>612</v>
          </cell>
          <cell r="FE2">
            <v>611</v>
          </cell>
          <cell r="FF2">
            <v>561</v>
          </cell>
          <cell r="FG2">
            <v>408</v>
          </cell>
          <cell r="FH2">
            <v>538</v>
          </cell>
          <cell r="FI2">
            <v>481</v>
          </cell>
          <cell r="FJ2">
            <v>442</v>
          </cell>
          <cell r="FK2">
            <v>434</v>
          </cell>
          <cell r="FL2">
            <v>418</v>
          </cell>
          <cell r="FM2">
            <v>392</v>
          </cell>
          <cell r="FN2">
            <v>404</v>
          </cell>
          <cell r="FO2">
            <v>403</v>
          </cell>
          <cell r="FP2">
            <v>398</v>
          </cell>
          <cell r="FQ2">
            <v>429</v>
          </cell>
          <cell r="FR2">
            <v>440</v>
          </cell>
          <cell r="FS2">
            <v>457</v>
          </cell>
          <cell r="FT2">
            <v>503</v>
          </cell>
          <cell r="FU2">
            <v>537</v>
          </cell>
          <cell r="FV2">
            <v>590</v>
          </cell>
          <cell r="FW2">
            <v>682</v>
          </cell>
          <cell r="FX2">
            <v>778</v>
          </cell>
          <cell r="FY2">
            <v>758</v>
          </cell>
          <cell r="FZ2">
            <v>725</v>
          </cell>
          <cell r="GA2">
            <v>437</v>
          </cell>
          <cell r="GB2">
            <v>519</v>
          </cell>
          <cell r="GC2">
            <v>593</v>
          </cell>
          <cell r="GD2">
            <v>648</v>
          </cell>
          <cell r="GE2">
            <v>646</v>
          </cell>
          <cell r="GF2">
            <v>564</v>
          </cell>
          <cell r="GG2">
            <v>489</v>
          </cell>
          <cell r="GH2">
            <v>360</v>
          </cell>
          <cell r="GI2">
            <v>398</v>
          </cell>
          <cell r="GJ2">
            <v>345</v>
          </cell>
          <cell r="GK2">
            <v>322</v>
          </cell>
          <cell r="GL2">
            <v>273</v>
          </cell>
          <cell r="GM2">
            <v>281</v>
          </cell>
          <cell r="GN2">
            <v>245</v>
          </cell>
          <cell r="GO2">
            <v>181</v>
          </cell>
          <cell r="GP2">
            <v>173</v>
          </cell>
          <cell r="GQ2">
            <v>137</v>
          </cell>
          <cell r="GR2">
            <v>150</v>
          </cell>
          <cell r="GS2">
            <v>110</v>
          </cell>
          <cell r="GT2">
            <v>97</v>
          </cell>
          <cell r="GU2">
            <v>75</v>
          </cell>
          <cell r="GV2">
            <v>63</v>
          </cell>
          <cell r="GW2">
            <v>52</v>
          </cell>
          <cell r="GX2">
            <v>32</v>
          </cell>
          <cell r="GY2">
            <v>35</v>
          </cell>
          <cell r="GZ2">
            <v>14</v>
          </cell>
          <cell r="HA2">
            <v>23</v>
          </cell>
          <cell r="HB2">
            <v>7</v>
          </cell>
          <cell r="HC2">
            <v>3</v>
          </cell>
          <cell r="HD2">
            <v>1</v>
          </cell>
          <cell r="HE2">
            <v>4</v>
          </cell>
          <cell r="HF2">
            <v>3</v>
          </cell>
          <cell r="HG2">
            <v>0</v>
          </cell>
          <cell r="HH2">
            <v>1</v>
          </cell>
          <cell r="HI2">
            <v>769</v>
          </cell>
          <cell r="HJ2">
            <v>830</v>
          </cell>
          <cell r="HK2">
            <v>720</v>
          </cell>
          <cell r="HL2">
            <v>809</v>
          </cell>
          <cell r="HM2">
            <v>723</v>
          </cell>
          <cell r="HN2">
            <v>762</v>
          </cell>
          <cell r="HO2">
            <v>672</v>
          </cell>
          <cell r="HP2">
            <v>721</v>
          </cell>
          <cell r="HQ2">
            <v>728</v>
          </cell>
          <cell r="HR2">
            <v>748</v>
          </cell>
          <cell r="HS2">
            <v>738</v>
          </cell>
          <cell r="HT2">
            <v>696</v>
          </cell>
          <cell r="HU2">
            <v>748</v>
          </cell>
          <cell r="HV2">
            <v>740</v>
          </cell>
          <cell r="HW2">
            <v>775</v>
          </cell>
          <cell r="HX2">
            <v>759</v>
          </cell>
          <cell r="HY2">
            <v>722</v>
          </cell>
          <cell r="HZ2">
            <v>851</v>
          </cell>
          <cell r="IA2">
            <v>814</v>
          </cell>
          <cell r="IB2">
            <v>913</v>
          </cell>
          <cell r="IC2">
            <v>905</v>
          </cell>
          <cell r="ID2">
            <v>872</v>
          </cell>
          <cell r="IE2">
            <v>974</v>
          </cell>
          <cell r="IF2">
            <v>979</v>
          </cell>
          <cell r="IG2">
            <v>912</v>
          </cell>
          <cell r="IH2">
            <v>956</v>
          </cell>
          <cell r="II2">
            <v>1003</v>
          </cell>
          <cell r="IJ2">
            <v>974</v>
          </cell>
          <cell r="IK2">
            <v>1049</v>
          </cell>
          <cell r="IL2">
            <v>1076</v>
          </cell>
          <cell r="IM2">
            <v>1056</v>
          </cell>
          <cell r="IN2">
            <v>1117</v>
          </cell>
          <cell r="IO2">
            <v>1089</v>
          </cell>
          <cell r="IP2">
            <v>1065</v>
          </cell>
          <cell r="IQ2">
            <v>1059</v>
          </cell>
          <cell r="IR2">
            <v>1099</v>
          </cell>
          <cell r="IS2">
            <v>1161</v>
          </cell>
          <cell r="IT2">
            <v>1131</v>
          </cell>
          <cell r="IU2">
            <v>1108</v>
          </cell>
          <cell r="IV2">
            <v>1112</v>
          </cell>
          <cell r="IW2">
            <v>1118</v>
          </cell>
          <cell r="IX2">
            <v>1225</v>
          </cell>
          <cell r="IY2">
            <v>1193</v>
          </cell>
          <cell r="IZ2">
            <v>1382</v>
          </cell>
          <cell r="JA2">
            <v>1372</v>
          </cell>
          <cell r="JB2">
            <v>1585</v>
          </cell>
          <cell r="JC2">
            <v>1640</v>
          </cell>
          <cell r="JD2">
            <v>1557</v>
          </cell>
          <cell r="JE2">
            <v>1500</v>
          </cell>
          <cell r="JF2">
            <v>1414</v>
          </cell>
          <cell r="JG2">
            <v>1313</v>
          </cell>
          <cell r="JH2">
            <v>1279</v>
          </cell>
          <cell r="JI2">
            <v>1233</v>
          </cell>
          <cell r="JJ2">
            <v>938</v>
          </cell>
          <cell r="JK2">
            <v>1066</v>
          </cell>
          <cell r="JL2">
            <v>980</v>
          </cell>
          <cell r="JM2">
            <v>937</v>
          </cell>
          <cell r="JN2">
            <v>906</v>
          </cell>
          <cell r="JO2">
            <v>854</v>
          </cell>
          <cell r="JP2">
            <v>793</v>
          </cell>
          <cell r="JQ2">
            <v>855</v>
          </cell>
          <cell r="JR2">
            <v>810</v>
          </cell>
          <cell r="JS2">
            <v>804</v>
          </cell>
          <cell r="JT2">
            <v>835</v>
          </cell>
          <cell r="JU2">
            <v>881</v>
          </cell>
          <cell r="JV2">
            <v>848</v>
          </cell>
          <cell r="JW2">
            <v>948</v>
          </cell>
          <cell r="JX2">
            <v>1035</v>
          </cell>
          <cell r="JY2">
            <v>1127</v>
          </cell>
          <cell r="JZ2">
            <v>1287</v>
          </cell>
          <cell r="KA2">
            <v>1422</v>
          </cell>
          <cell r="KB2">
            <v>1429</v>
          </cell>
          <cell r="KC2">
            <v>1382</v>
          </cell>
          <cell r="KD2">
            <v>775</v>
          </cell>
          <cell r="KE2">
            <v>940</v>
          </cell>
          <cell r="KF2">
            <v>1123</v>
          </cell>
          <cell r="KG2">
            <v>1129</v>
          </cell>
          <cell r="KH2">
            <v>1159</v>
          </cell>
          <cell r="KI2">
            <v>1042</v>
          </cell>
          <cell r="KJ2">
            <v>876</v>
          </cell>
          <cell r="KK2">
            <v>697</v>
          </cell>
          <cell r="KL2">
            <v>707</v>
          </cell>
          <cell r="KM2">
            <v>627</v>
          </cell>
          <cell r="KN2">
            <v>604</v>
          </cell>
          <cell r="KO2">
            <v>478</v>
          </cell>
          <cell r="KP2">
            <v>433</v>
          </cell>
          <cell r="KQ2">
            <v>375</v>
          </cell>
          <cell r="KR2">
            <v>307</v>
          </cell>
          <cell r="KS2">
            <v>267</v>
          </cell>
          <cell r="KT2">
            <v>193</v>
          </cell>
          <cell r="KU2">
            <v>210</v>
          </cell>
          <cell r="KV2">
            <v>151</v>
          </cell>
          <cell r="KW2">
            <v>133</v>
          </cell>
          <cell r="KX2">
            <v>96</v>
          </cell>
          <cell r="KY2">
            <v>78</v>
          </cell>
          <cell r="KZ2">
            <v>60</v>
          </cell>
          <cell r="LA2">
            <v>39</v>
          </cell>
          <cell r="LB2">
            <v>41</v>
          </cell>
          <cell r="LC2">
            <v>16</v>
          </cell>
          <cell r="LD2">
            <v>26</v>
          </cell>
          <cell r="LE2">
            <v>8</v>
          </cell>
          <cell r="LF2">
            <v>3</v>
          </cell>
          <cell r="LG2">
            <v>1</v>
          </cell>
          <cell r="LH2">
            <v>5</v>
          </cell>
          <cell r="LI2">
            <v>3</v>
          </cell>
          <cell r="LJ2">
            <v>0</v>
          </cell>
          <cell r="LK2">
            <v>1</v>
          </cell>
          <cell r="LL2">
            <v>1983</v>
          </cell>
          <cell r="LM2">
            <v>1858</v>
          </cell>
          <cell r="LN2">
            <v>1893</v>
          </cell>
          <cell r="LO2">
            <v>2090</v>
          </cell>
          <cell r="LP2">
            <v>2421</v>
          </cell>
          <cell r="LQ2">
            <v>2618</v>
          </cell>
          <cell r="LR2">
            <v>2758</v>
          </cell>
          <cell r="LS2">
            <v>2878</v>
          </cell>
          <cell r="LT2">
            <v>3248</v>
          </cell>
          <cell r="LU2">
            <v>4048</v>
          </cell>
          <cell r="LV2">
            <v>3099</v>
          </cell>
          <cell r="LW2">
            <v>2303</v>
          </cell>
          <cell r="LX2">
            <v>2111</v>
          </cell>
          <cell r="LY2">
            <v>2476</v>
          </cell>
          <cell r="LZ2">
            <v>2731</v>
          </cell>
          <cell r="MA2">
            <v>2389</v>
          </cell>
          <cell r="MB2">
            <v>1415</v>
          </cell>
          <cell r="MC2">
            <v>558</v>
          </cell>
          <cell r="MD2">
            <v>173</v>
          </cell>
          <cell r="ME2">
            <v>26</v>
          </cell>
          <cell r="MF2">
            <v>2</v>
          </cell>
          <cell r="MG2">
            <v>1868</v>
          </cell>
          <cell r="MH2">
            <v>1773</v>
          </cell>
          <cell r="MI2">
            <v>1804</v>
          </cell>
          <cell r="MJ2">
            <v>1969</v>
          </cell>
          <cell r="MK2">
            <v>2221</v>
          </cell>
          <cell r="ML2">
            <v>2440</v>
          </cell>
          <cell r="MM2">
            <v>2628</v>
          </cell>
          <cell r="MN2">
            <v>2733</v>
          </cell>
          <cell r="MO2">
            <v>3042</v>
          </cell>
          <cell r="MP2">
            <v>3648</v>
          </cell>
          <cell r="MQ2">
            <v>2730</v>
          </cell>
          <cell r="MR2">
            <v>2167</v>
          </cell>
          <cell r="MS2">
            <v>2074</v>
          </cell>
          <cell r="MT2">
            <v>2769</v>
          </cell>
          <cell r="MU2">
            <v>3217</v>
          </cell>
          <cell r="MV2">
            <v>2940</v>
          </cell>
          <cell r="MW2">
            <v>1698</v>
          </cell>
          <cell r="MX2">
            <v>1017</v>
          </cell>
          <cell r="MY2">
            <v>495</v>
          </cell>
          <cell r="MZ2">
            <v>156</v>
          </cell>
          <cell r="NA2">
            <v>17</v>
          </cell>
          <cell r="NB2">
            <v>1</v>
          </cell>
          <cell r="NC2">
            <v>3851</v>
          </cell>
          <cell r="ND2">
            <v>3631</v>
          </cell>
          <cell r="NE2">
            <v>3697</v>
          </cell>
          <cell r="NF2">
            <v>4059</v>
          </cell>
          <cell r="NG2">
            <v>4642</v>
          </cell>
          <cell r="NH2">
            <v>5058</v>
          </cell>
          <cell r="NI2">
            <v>5386</v>
          </cell>
          <cell r="NJ2">
            <v>5611</v>
          </cell>
          <cell r="NK2">
            <v>6290</v>
          </cell>
          <cell r="NL2">
            <v>7696</v>
          </cell>
          <cell r="NM2">
            <v>5829</v>
          </cell>
          <cell r="NN2">
            <v>4470</v>
          </cell>
          <cell r="NO2">
            <v>4185</v>
          </cell>
          <cell r="NP2">
            <v>5245</v>
          </cell>
          <cell r="NQ2">
            <v>5948</v>
          </cell>
          <cell r="NR2">
            <v>5329</v>
          </cell>
          <cell r="NS2">
            <v>3113</v>
          </cell>
          <cell r="NT2">
            <v>1575</v>
          </cell>
          <cell r="NU2">
            <v>668</v>
          </cell>
          <cell r="NV2">
            <v>182</v>
          </cell>
          <cell r="NW2">
            <v>19</v>
          </cell>
          <cell r="NX2">
            <v>1</v>
          </cell>
          <cell r="NY2">
            <v>9770</v>
          </cell>
          <cell r="NZ2">
            <v>12311</v>
          </cell>
          <cell r="OA2">
            <v>22081</v>
          </cell>
          <cell r="OB2">
            <v>25.5</v>
          </cell>
          <cell r="OC2">
            <v>43078</v>
          </cell>
          <cell r="OD2">
            <v>43408</v>
          </cell>
          <cell r="OE2">
            <v>86486</v>
          </cell>
          <cell r="OF2">
            <v>41297</v>
          </cell>
          <cell r="OG2">
            <v>43</v>
          </cell>
          <cell r="OH2">
            <v>46</v>
          </cell>
          <cell r="OI2">
            <v>45</v>
          </cell>
          <cell r="OJ2" t="str">
            <v>令和元年 9月 3日</v>
          </cell>
          <cell r="OK2" t="str">
            <v>※外国人を含めた集計です。</v>
          </cell>
        </row>
      </sheetData>
      <sheetData sheetId="2"/>
      <sheetData sheetId="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操作方法"/>
      <sheetName val="データ貼り付けシート"/>
      <sheetName val="印刷用シート"/>
      <sheetName val="ホームページ用シート"/>
    </sheetNames>
    <sheetDataSet>
      <sheetData sheetId="0"/>
      <sheetData sheetId="1">
        <row r="1">
          <cell r="A1" t="str">
            <v>自治体名</v>
          </cell>
          <cell r="B1" t="str">
            <v>集計区分</v>
          </cell>
          <cell r="C1" t="str">
            <v>基準日</v>
          </cell>
          <cell r="D1" t="str">
            <v>0_男</v>
          </cell>
          <cell r="E1" t="str">
            <v>1_男</v>
          </cell>
          <cell r="F1" t="str">
            <v>2_男</v>
          </cell>
          <cell r="G1" t="str">
            <v>3_男</v>
          </cell>
          <cell r="H1" t="str">
            <v>4_男</v>
          </cell>
          <cell r="I1" t="str">
            <v>5_男</v>
          </cell>
          <cell r="J1" t="str">
            <v>6_男</v>
          </cell>
          <cell r="K1" t="str">
            <v>7_男</v>
          </cell>
          <cell r="L1" t="str">
            <v>8_男</v>
          </cell>
          <cell r="M1" t="str">
            <v>9_男</v>
          </cell>
          <cell r="N1" t="str">
            <v>10_男</v>
          </cell>
          <cell r="O1" t="str">
            <v>11_男</v>
          </cell>
          <cell r="P1" t="str">
            <v>12_男</v>
          </cell>
          <cell r="Q1" t="str">
            <v>13_男</v>
          </cell>
          <cell r="R1" t="str">
            <v>14_男</v>
          </cell>
          <cell r="S1" t="str">
            <v>15_男</v>
          </cell>
          <cell r="T1" t="str">
            <v>16_男</v>
          </cell>
          <cell r="U1" t="str">
            <v>17_男</v>
          </cell>
          <cell r="V1" t="str">
            <v>18_男</v>
          </cell>
          <cell r="W1" t="str">
            <v>19_男</v>
          </cell>
          <cell r="X1" t="str">
            <v>20_男</v>
          </cell>
          <cell r="Y1" t="str">
            <v>21_男</v>
          </cell>
          <cell r="Z1" t="str">
            <v>22_男</v>
          </cell>
          <cell r="AA1" t="str">
            <v>23_男</v>
          </cell>
          <cell r="AB1" t="str">
            <v>24_男</v>
          </cell>
          <cell r="AC1" t="str">
            <v>25_男</v>
          </cell>
          <cell r="AD1" t="str">
            <v>26_男</v>
          </cell>
          <cell r="AE1" t="str">
            <v>27_男</v>
          </cell>
          <cell r="AF1" t="str">
            <v>28_男</v>
          </cell>
          <cell r="AG1" t="str">
            <v>29_男</v>
          </cell>
          <cell r="AH1" t="str">
            <v>30_男</v>
          </cell>
          <cell r="AI1" t="str">
            <v>31_男</v>
          </cell>
          <cell r="AJ1" t="str">
            <v>32_男</v>
          </cell>
          <cell r="AK1" t="str">
            <v>33_男</v>
          </cell>
          <cell r="AL1" t="str">
            <v>34_男</v>
          </cell>
          <cell r="AM1" t="str">
            <v>35_男</v>
          </cell>
          <cell r="AN1" t="str">
            <v>36_男</v>
          </cell>
          <cell r="AO1" t="str">
            <v>37_男</v>
          </cell>
          <cell r="AP1" t="str">
            <v>38_男</v>
          </cell>
          <cell r="AQ1" t="str">
            <v>39_男</v>
          </cell>
          <cell r="AR1" t="str">
            <v>40_男</v>
          </cell>
          <cell r="AS1" t="str">
            <v>41_男</v>
          </cell>
          <cell r="AT1" t="str">
            <v>42_男</v>
          </cell>
          <cell r="AU1" t="str">
            <v>43_男</v>
          </cell>
          <cell r="AV1" t="str">
            <v>44_男</v>
          </cell>
          <cell r="AW1" t="str">
            <v>45_男</v>
          </cell>
          <cell r="AX1" t="str">
            <v>46_男</v>
          </cell>
          <cell r="AY1" t="str">
            <v>47_男</v>
          </cell>
          <cell r="AZ1" t="str">
            <v>48_男</v>
          </cell>
          <cell r="BA1" t="str">
            <v>49_男</v>
          </cell>
          <cell r="BB1" t="str">
            <v>50_男</v>
          </cell>
          <cell r="BC1" t="str">
            <v>51_男</v>
          </cell>
          <cell r="BD1" t="str">
            <v>52_男</v>
          </cell>
          <cell r="BE1" t="str">
            <v>53_男</v>
          </cell>
          <cell r="BF1" t="str">
            <v>54_男</v>
          </cell>
          <cell r="BG1" t="str">
            <v>55_男</v>
          </cell>
          <cell r="BH1" t="str">
            <v>56_男</v>
          </cell>
          <cell r="BI1" t="str">
            <v>57_男</v>
          </cell>
          <cell r="BJ1" t="str">
            <v>58_男</v>
          </cell>
          <cell r="BK1" t="str">
            <v>59_男</v>
          </cell>
          <cell r="BL1" t="str">
            <v>60_男</v>
          </cell>
          <cell r="BM1" t="str">
            <v>61_男</v>
          </cell>
          <cell r="BN1" t="str">
            <v>62_男</v>
          </cell>
          <cell r="BO1" t="str">
            <v>63_男</v>
          </cell>
          <cell r="BP1" t="str">
            <v>64_男</v>
          </cell>
          <cell r="BQ1" t="str">
            <v>65_男</v>
          </cell>
          <cell r="BR1" t="str">
            <v>66_男</v>
          </cell>
          <cell r="BS1" t="str">
            <v>67_男</v>
          </cell>
          <cell r="BT1" t="str">
            <v>68_男</v>
          </cell>
          <cell r="BU1" t="str">
            <v>69_男</v>
          </cell>
          <cell r="BV1" t="str">
            <v>70_男</v>
          </cell>
          <cell r="BW1" t="str">
            <v>71_男</v>
          </cell>
          <cell r="BX1" t="str">
            <v>72_男</v>
          </cell>
          <cell r="BY1" t="str">
            <v>73_男</v>
          </cell>
          <cell r="BZ1" t="str">
            <v>74_男</v>
          </cell>
          <cell r="CA1" t="str">
            <v>75_男</v>
          </cell>
          <cell r="CB1" t="str">
            <v>76_男</v>
          </cell>
          <cell r="CC1" t="str">
            <v>77_男</v>
          </cell>
          <cell r="CD1" t="str">
            <v>78_男</v>
          </cell>
          <cell r="CE1" t="str">
            <v>79_男</v>
          </cell>
          <cell r="CF1" t="str">
            <v>80_男</v>
          </cell>
          <cell r="CG1" t="str">
            <v>81_男</v>
          </cell>
          <cell r="CH1" t="str">
            <v>82_男</v>
          </cell>
          <cell r="CI1" t="str">
            <v>83_男</v>
          </cell>
          <cell r="CJ1" t="str">
            <v>84_男</v>
          </cell>
          <cell r="CK1" t="str">
            <v>85_男</v>
          </cell>
          <cell r="CL1" t="str">
            <v>86_男</v>
          </cell>
          <cell r="CM1" t="str">
            <v>87_男</v>
          </cell>
          <cell r="CN1" t="str">
            <v>88_男</v>
          </cell>
          <cell r="CO1" t="str">
            <v>89_男</v>
          </cell>
          <cell r="CP1" t="str">
            <v>90_男</v>
          </cell>
          <cell r="CQ1" t="str">
            <v>91_男</v>
          </cell>
          <cell r="CR1" t="str">
            <v>92_男</v>
          </cell>
          <cell r="CS1" t="str">
            <v>93_男</v>
          </cell>
          <cell r="CT1" t="str">
            <v>94_男</v>
          </cell>
          <cell r="CU1" t="str">
            <v>95_男</v>
          </cell>
          <cell r="CV1" t="str">
            <v>96_男</v>
          </cell>
          <cell r="CW1" t="str">
            <v>97_男</v>
          </cell>
          <cell r="CX1" t="str">
            <v>98_男</v>
          </cell>
          <cell r="CY1" t="str">
            <v>99_男</v>
          </cell>
          <cell r="CZ1" t="str">
            <v>100_男</v>
          </cell>
          <cell r="DA1" t="str">
            <v>101_男</v>
          </cell>
          <cell r="DB1" t="str">
            <v>102_男</v>
          </cell>
          <cell r="DC1" t="str">
            <v>103_男</v>
          </cell>
          <cell r="DD1" t="str">
            <v>104_男</v>
          </cell>
          <cell r="DE1" t="str">
            <v>105_男</v>
          </cell>
          <cell r="DF1" t="str">
            <v>106以上_男</v>
          </cell>
          <cell r="DG1" t="str">
            <v>0_女</v>
          </cell>
          <cell r="DH1" t="str">
            <v>1_女</v>
          </cell>
          <cell r="DI1" t="str">
            <v>2_女</v>
          </cell>
          <cell r="DJ1" t="str">
            <v>3_女</v>
          </cell>
          <cell r="DK1" t="str">
            <v>4_女</v>
          </cell>
          <cell r="DL1" t="str">
            <v>5_女</v>
          </cell>
          <cell r="DM1" t="str">
            <v>6_女</v>
          </cell>
          <cell r="DN1" t="str">
            <v>7_女</v>
          </cell>
          <cell r="DO1" t="str">
            <v>8_女</v>
          </cell>
          <cell r="DP1" t="str">
            <v>9_女</v>
          </cell>
          <cell r="DQ1" t="str">
            <v>10_女</v>
          </cell>
          <cell r="DR1" t="str">
            <v>11_女</v>
          </cell>
          <cell r="DS1" t="str">
            <v>12_女</v>
          </cell>
          <cell r="DT1" t="str">
            <v>13_女</v>
          </cell>
          <cell r="DU1" t="str">
            <v>14_女</v>
          </cell>
          <cell r="DV1" t="str">
            <v>15_女</v>
          </cell>
          <cell r="DW1" t="str">
            <v>16_女</v>
          </cell>
          <cell r="DX1" t="str">
            <v>17_女</v>
          </cell>
          <cell r="DY1" t="str">
            <v>18_女</v>
          </cell>
          <cell r="DZ1" t="str">
            <v>19_女</v>
          </cell>
          <cell r="EA1" t="str">
            <v>20_女</v>
          </cell>
          <cell r="EB1" t="str">
            <v>21_女</v>
          </cell>
          <cell r="EC1" t="str">
            <v>22_女</v>
          </cell>
          <cell r="ED1" t="str">
            <v>23_女</v>
          </cell>
          <cell r="EE1" t="str">
            <v>24_女</v>
          </cell>
          <cell r="EF1" t="str">
            <v>25_女</v>
          </cell>
          <cell r="EG1" t="str">
            <v>26_女</v>
          </cell>
          <cell r="EH1" t="str">
            <v>27_女</v>
          </cell>
          <cell r="EI1" t="str">
            <v>28_女</v>
          </cell>
          <cell r="EJ1" t="str">
            <v>29_女</v>
          </cell>
          <cell r="EK1" t="str">
            <v>30_女</v>
          </cell>
          <cell r="EL1" t="str">
            <v>31_女</v>
          </cell>
          <cell r="EM1" t="str">
            <v>32_女</v>
          </cell>
          <cell r="EN1" t="str">
            <v>33_女</v>
          </cell>
          <cell r="EO1" t="str">
            <v>34_女</v>
          </cell>
          <cell r="EP1" t="str">
            <v>35_女</v>
          </cell>
          <cell r="EQ1" t="str">
            <v>36_女</v>
          </cell>
          <cell r="ER1" t="str">
            <v>37_女</v>
          </cell>
          <cell r="ES1" t="str">
            <v>38_女</v>
          </cell>
          <cell r="ET1" t="str">
            <v>39_女</v>
          </cell>
          <cell r="EU1" t="str">
            <v>40_女</v>
          </cell>
          <cell r="EV1" t="str">
            <v>41_女</v>
          </cell>
          <cell r="EW1" t="str">
            <v>42_女</v>
          </cell>
          <cell r="EX1" t="str">
            <v>43_女</v>
          </cell>
          <cell r="EY1" t="str">
            <v>44_女</v>
          </cell>
          <cell r="EZ1" t="str">
            <v>45_女</v>
          </cell>
          <cell r="FA1" t="str">
            <v>46_女</v>
          </cell>
          <cell r="FB1" t="str">
            <v>47_女</v>
          </cell>
          <cell r="FC1" t="str">
            <v>48_女</v>
          </cell>
          <cell r="FD1" t="str">
            <v>49_女</v>
          </cell>
          <cell r="FE1" t="str">
            <v>50_女</v>
          </cell>
          <cell r="FF1" t="str">
            <v>51_女</v>
          </cell>
          <cell r="FG1" t="str">
            <v>52_女</v>
          </cell>
          <cell r="FH1" t="str">
            <v>53_女</v>
          </cell>
          <cell r="FI1" t="str">
            <v>54_女</v>
          </cell>
          <cell r="FJ1" t="str">
            <v>55_女</v>
          </cell>
          <cell r="FK1" t="str">
            <v>56_女</v>
          </cell>
          <cell r="FL1" t="str">
            <v>57_女</v>
          </cell>
          <cell r="FM1" t="str">
            <v>58_女</v>
          </cell>
          <cell r="FN1" t="str">
            <v>59_女</v>
          </cell>
          <cell r="FO1" t="str">
            <v>60_女</v>
          </cell>
          <cell r="FP1" t="str">
            <v>61_女</v>
          </cell>
          <cell r="FQ1" t="str">
            <v>62_女</v>
          </cell>
          <cell r="FR1" t="str">
            <v>63_女</v>
          </cell>
          <cell r="FS1" t="str">
            <v>64_女</v>
          </cell>
          <cell r="FT1" t="str">
            <v>65_女</v>
          </cell>
          <cell r="FU1" t="str">
            <v>66_女</v>
          </cell>
          <cell r="FV1" t="str">
            <v>67_女</v>
          </cell>
          <cell r="FW1" t="str">
            <v>68_女</v>
          </cell>
          <cell r="FX1" t="str">
            <v>69_女</v>
          </cell>
          <cell r="FY1" t="str">
            <v>70_女</v>
          </cell>
          <cell r="FZ1" t="str">
            <v>71_女</v>
          </cell>
          <cell r="GA1" t="str">
            <v>72_女</v>
          </cell>
          <cell r="GB1" t="str">
            <v>73_女</v>
          </cell>
          <cell r="GC1" t="str">
            <v>74_女</v>
          </cell>
          <cell r="GD1" t="str">
            <v>75_女</v>
          </cell>
          <cell r="GE1" t="str">
            <v>76_女</v>
          </cell>
          <cell r="GF1" t="str">
            <v>77_女</v>
          </cell>
          <cell r="GG1" t="str">
            <v>78_女</v>
          </cell>
          <cell r="GH1" t="str">
            <v>79_女</v>
          </cell>
          <cell r="GI1" t="str">
            <v>80_女</v>
          </cell>
          <cell r="GJ1" t="str">
            <v>81_女</v>
          </cell>
          <cell r="GK1" t="str">
            <v>82_女</v>
          </cell>
          <cell r="GL1" t="str">
            <v>83_女</v>
          </cell>
          <cell r="GM1" t="str">
            <v>84_女</v>
          </cell>
          <cell r="GN1" t="str">
            <v>85_女</v>
          </cell>
          <cell r="GO1" t="str">
            <v>86_女</v>
          </cell>
          <cell r="GP1" t="str">
            <v>87_女</v>
          </cell>
          <cell r="GQ1" t="str">
            <v>88_女</v>
          </cell>
          <cell r="GR1" t="str">
            <v>89_女</v>
          </cell>
          <cell r="GS1" t="str">
            <v>90_女</v>
          </cell>
          <cell r="GT1" t="str">
            <v>91_女</v>
          </cell>
          <cell r="GU1" t="str">
            <v>92_女</v>
          </cell>
          <cell r="GV1" t="str">
            <v>93_女</v>
          </cell>
          <cell r="GW1" t="str">
            <v>94_女</v>
          </cell>
          <cell r="GX1" t="str">
            <v>95_女</v>
          </cell>
          <cell r="GY1" t="str">
            <v>96_女</v>
          </cell>
          <cell r="GZ1" t="str">
            <v>97_女</v>
          </cell>
          <cell r="HA1" t="str">
            <v>98_女</v>
          </cell>
          <cell r="HB1" t="str">
            <v>99_女</v>
          </cell>
          <cell r="HC1" t="str">
            <v>100_女</v>
          </cell>
          <cell r="HD1" t="str">
            <v>101_女</v>
          </cell>
          <cell r="HE1" t="str">
            <v>102_女</v>
          </cell>
          <cell r="HF1" t="str">
            <v>103_女</v>
          </cell>
          <cell r="HG1" t="str">
            <v>104_女</v>
          </cell>
          <cell r="HH1" t="str">
            <v>105以上_女</v>
          </cell>
          <cell r="HI1" t="str">
            <v>106_女</v>
          </cell>
          <cell r="HJ1" t="str">
            <v>0_全体</v>
          </cell>
          <cell r="HK1" t="str">
            <v>1_全体</v>
          </cell>
          <cell r="HL1" t="str">
            <v>2_全体</v>
          </cell>
          <cell r="HM1" t="str">
            <v>3_全体</v>
          </cell>
          <cell r="HN1" t="str">
            <v>4_全体</v>
          </cell>
          <cell r="HO1" t="str">
            <v>5_全体</v>
          </cell>
          <cell r="HP1" t="str">
            <v>6_全体</v>
          </cell>
          <cell r="HQ1" t="str">
            <v>7_全体</v>
          </cell>
          <cell r="HR1" t="str">
            <v>8_全体</v>
          </cell>
          <cell r="HS1" t="str">
            <v>9_全体</v>
          </cell>
          <cell r="HT1" t="str">
            <v>10_全体</v>
          </cell>
          <cell r="HU1" t="str">
            <v>11_全体</v>
          </cell>
          <cell r="HV1" t="str">
            <v>12_全体</v>
          </cell>
          <cell r="HW1" t="str">
            <v>13_全体</v>
          </cell>
          <cell r="HX1" t="str">
            <v>14_全体</v>
          </cell>
          <cell r="HY1" t="str">
            <v>15_全体</v>
          </cell>
          <cell r="HZ1" t="str">
            <v>16_全体</v>
          </cell>
          <cell r="IA1" t="str">
            <v>17_全体</v>
          </cell>
          <cell r="IB1" t="str">
            <v>18_全体</v>
          </cell>
          <cell r="IC1" t="str">
            <v>19_全体</v>
          </cell>
          <cell r="ID1" t="str">
            <v>20_全体</v>
          </cell>
          <cell r="IE1" t="str">
            <v>21_全体</v>
          </cell>
          <cell r="IF1" t="str">
            <v>22_全体</v>
          </cell>
          <cell r="IG1" t="str">
            <v>23_全体</v>
          </cell>
          <cell r="IH1" t="str">
            <v>24_全体</v>
          </cell>
          <cell r="II1" t="str">
            <v>25_全体</v>
          </cell>
          <cell r="IJ1" t="str">
            <v>26_全体</v>
          </cell>
          <cell r="IK1" t="str">
            <v>27_全体</v>
          </cell>
          <cell r="IL1" t="str">
            <v>28_全体</v>
          </cell>
          <cell r="IM1" t="str">
            <v>29_全体</v>
          </cell>
          <cell r="IN1" t="str">
            <v>30_全体</v>
          </cell>
          <cell r="IO1" t="str">
            <v>31_全体</v>
          </cell>
          <cell r="IP1" t="str">
            <v>32_全体</v>
          </cell>
          <cell r="IQ1" t="str">
            <v>33_全体</v>
          </cell>
          <cell r="IR1" t="str">
            <v>34_全体</v>
          </cell>
          <cell r="IS1" t="str">
            <v>35_全体</v>
          </cell>
          <cell r="IT1" t="str">
            <v>36_全体</v>
          </cell>
          <cell r="IU1" t="str">
            <v>37_全体</v>
          </cell>
          <cell r="IV1" t="str">
            <v>38_全体</v>
          </cell>
          <cell r="IW1" t="str">
            <v>39_全体</v>
          </cell>
          <cell r="IX1" t="str">
            <v>40_全体</v>
          </cell>
          <cell r="IY1" t="str">
            <v>41_全体</v>
          </cell>
          <cell r="IZ1" t="str">
            <v>42_全体</v>
          </cell>
          <cell r="JA1" t="str">
            <v>43_全体</v>
          </cell>
          <cell r="JB1" t="str">
            <v>44_全体</v>
          </cell>
          <cell r="JC1" t="str">
            <v>45_全体</v>
          </cell>
          <cell r="JD1" t="str">
            <v>46_全体</v>
          </cell>
          <cell r="JE1" t="str">
            <v>47_全体</v>
          </cell>
          <cell r="JF1" t="str">
            <v>48_全体</v>
          </cell>
          <cell r="JG1" t="str">
            <v>49_全体</v>
          </cell>
          <cell r="JH1" t="str">
            <v>50_全体</v>
          </cell>
          <cell r="JI1" t="str">
            <v>51_全体</v>
          </cell>
          <cell r="JJ1" t="str">
            <v>52_全体</v>
          </cell>
          <cell r="JK1" t="str">
            <v>53_全体</v>
          </cell>
          <cell r="JL1" t="str">
            <v>54_全体</v>
          </cell>
          <cell r="JM1" t="str">
            <v>55_全体</v>
          </cell>
          <cell r="JN1" t="str">
            <v>56_全体</v>
          </cell>
          <cell r="JO1" t="str">
            <v>57_全体</v>
          </cell>
          <cell r="JP1" t="str">
            <v>58_全体</v>
          </cell>
          <cell r="JQ1" t="str">
            <v>59_全体</v>
          </cell>
          <cell r="JR1" t="str">
            <v>60_全体</v>
          </cell>
          <cell r="JS1" t="str">
            <v>61_全体</v>
          </cell>
          <cell r="JT1" t="str">
            <v>62_全体</v>
          </cell>
          <cell r="JU1" t="str">
            <v>63_全体</v>
          </cell>
          <cell r="JV1" t="str">
            <v>64_全体</v>
          </cell>
          <cell r="JW1" t="str">
            <v>65_全体</v>
          </cell>
          <cell r="JX1" t="str">
            <v>66_全体</v>
          </cell>
          <cell r="JY1" t="str">
            <v>67_全体</v>
          </cell>
          <cell r="JZ1" t="str">
            <v>68_全体</v>
          </cell>
          <cell r="KA1" t="str">
            <v>69_全体</v>
          </cell>
          <cell r="KB1" t="str">
            <v>70_全体</v>
          </cell>
          <cell r="KC1" t="str">
            <v>71_全体</v>
          </cell>
          <cell r="KD1" t="str">
            <v>72_全体</v>
          </cell>
          <cell r="KE1" t="str">
            <v>73_全体</v>
          </cell>
          <cell r="KF1" t="str">
            <v>74_全体</v>
          </cell>
          <cell r="KG1" t="str">
            <v>75_全体</v>
          </cell>
          <cell r="KH1" t="str">
            <v>76_全体</v>
          </cell>
          <cell r="KI1" t="str">
            <v>77_全体</v>
          </cell>
          <cell r="KJ1" t="str">
            <v>78_全体</v>
          </cell>
          <cell r="KK1" t="str">
            <v>79_全体</v>
          </cell>
          <cell r="KL1" t="str">
            <v>80_全体</v>
          </cell>
          <cell r="KM1" t="str">
            <v>81_全体</v>
          </cell>
          <cell r="KN1" t="str">
            <v>82_全体</v>
          </cell>
          <cell r="KO1" t="str">
            <v>83_全体</v>
          </cell>
          <cell r="KP1" t="str">
            <v>84_全体</v>
          </cell>
          <cell r="KQ1" t="str">
            <v>85_全体</v>
          </cell>
          <cell r="KR1" t="str">
            <v>86_全体</v>
          </cell>
          <cell r="KS1" t="str">
            <v>87_全体</v>
          </cell>
          <cell r="KT1" t="str">
            <v>88_全体</v>
          </cell>
          <cell r="KU1" t="str">
            <v>89_全体</v>
          </cell>
          <cell r="KV1" t="str">
            <v>90_全体</v>
          </cell>
          <cell r="KW1" t="str">
            <v>91_全体</v>
          </cell>
          <cell r="KX1" t="str">
            <v>92_全体</v>
          </cell>
          <cell r="KY1" t="str">
            <v>93_全体</v>
          </cell>
          <cell r="KZ1" t="str">
            <v>94_全体</v>
          </cell>
          <cell r="LA1" t="str">
            <v>95_全体</v>
          </cell>
          <cell r="LB1" t="str">
            <v>96_全体</v>
          </cell>
          <cell r="LC1" t="str">
            <v>97_全体</v>
          </cell>
          <cell r="LD1" t="str">
            <v>98_全体</v>
          </cell>
          <cell r="LE1" t="str">
            <v>99_全体</v>
          </cell>
          <cell r="LF1" t="str">
            <v>100_全体</v>
          </cell>
          <cell r="LG1" t="str">
            <v>101_全体</v>
          </cell>
          <cell r="LH1" t="str">
            <v>102_全体</v>
          </cell>
          <cell r="LI1" t="str">
            <v>103_全体</v>
          </cell>
          <cell r="LJ1" t="str">
            <v>104_全体</v>
          </cell>
          <cell r="LK1" t="str">
            <v>105_全体</v>
          </cell>
          <cell r="LL1" t="str">
            <v>106以上_全体</v>
          </cell>
          <cell r="LM1" t="str">
            <v>年代0-4_男</v>
          </cell>
          <cell r="LN1" t="str">
            <v>年代5-9_男</v>
          </cell>
          <cell r="LO1" t="str">
            <v>年代10-14_男</v>
          </cell>
          <cell r="LP1" t="str">
            <v>年代15-19_男</v>
          </cell>
          <cell r="LQ1" t="str">
            <v>年代20-24_男</v>
          </cell>
          <cell r="LR1" t="str">
            <v>年代25-29_男</v>
          </cell>
          <cell r="LS1" t="str">
            <v>年代30-34_男</v>
          </cell>
          <cell r="LT1" t="str">
            <v>年代35-39_男</v>
          </cell>
          <cell r="LU1" t="str">
            <v>年代40-44_男</v>
          </cell>
          <cell r="LV1" t="str">
            <v>年代45-49_男</v>
          </cell>
          <cell r="LW1" t="str">
            <v>年代50-54_男</v>
          </cell>
          <cell r="LX1" t="str">
            <v>年代55-59_男</v>
          </cell>
          <cell r="LY1" t="str">
            <v>年代60-64_男</v>
          </cell>
          <cell r="LZ1" t="str">
            <v>年代65-69_男</v>
          </cell>
          <cell r="MA1" t="str">
            <v>年代70-74_男</v>
          </cell>
          <cell r="MB1" t="str">
            <v>年代75-79_男</v>
          </cell>
          <cell r="MC1" t="str">
            <v>年代80-84_男</v>
          </cell>
          <cell r="MD1" t="str">
            <v>年代85-89_男</v>
          </cell>
          <cell r="ME1" t="str">
            <v>年代90-94_男</v>
          </cell>
          <cell r="MF1" t="str">
            <v>年代95-99_男</v>
          </cell>
          <cell r="MG1" t="str">
            <v>年代100-104_男</v>
          </cell>
          <cell r="MH1" t="str">
            <v>年代0-4_女</v>
          </cell>
          <cell r="MI1" t="str">
            <v>年代5-9_女</v>
          </cell>
          <cell r="MJ1" t="str">
            <v>年代10-14_女</v>
          </cell>
          <cell r="MK1" t="str">
            <v>年代15-19_女</v>
          </cell>
          <cell r="ML1" t="str">
            <v>年代20-24_女</v>
          </cell>
          <cell r="MM1" t="str">
            <v>年代25-29_女</v>
          </cell>
          <cell r="MN1" t="str">
            <v>年代30-34_女</v>
          </cell>
          <cell r="MO1" t="str">
            <v>年代35-39_女</v>
          </cell>
          <cell r="MP1" t="str">
            <v>年代40-44_女</v>
          </cell>
          <cell r="MQ1" t="str">
            <v>年代45-49_女</v>
          </cell>
          <cell r="MR1" t="str">
            <v>年代50-54_女</v>
          </cell>
          <cell r="MS1" t="str">
            <v>年代55-59_女</v>
          </cell>
          <cell r="MT1" t="str">
            <v>年代60-64_女</v>
          </cell>
          <cell r="MU1" t="str">
            <v>年代65-69_女</v>
          </cell>
          <cell r="MV1" t="str">
            <v>年代70-74_女</v>
          </cell>
          <cell r="MW1" t="str">
            <v>年代75-79_女</v>
          </cell>
          <cell r="MX1" t="str">
            <v>年代80-84_女</v>
          </cell>
          <cell r="MY1" t="str">
            <v>年代85-89_女</v>
          </cell>
          <cell r="MZ1" t="str">
            <v>年代90-94_女</v>
          </cell>
          <cell r="NA1" t="str">
            <v>年代95-99_女</v>
          </cell>
          <cell r="NB1" t="str">
            <v>年代100-104_女</v>
          </cell>
          <cell r="NC1" t="str">
            <v>年代105-109_女</v>
          </cell>
          <cell r="ND1" t="str">
            <v>年代0-4_全体</v>
          </cell>
          <cell r="NE1" t="str">
            <v>年代5-9_全体</v>
          </cell>
          <cell r="NF1" t="str">
            <v>年代10-14_全体</v>
          </cell>
          <cell r="NG1" t="str">
            <v>年代15-19_全体</v>
          </cell>
          <cell r="NH1" t="str">
            <v>年代20-24_全体</v>
          </cell>
          <cell r="NI1" t="str">
            <v>年代25-29_全体</v>
          </cell>
          <cell r="NJ1" t="str">
            <v>年代30-34_全体</v>
          </cell>
          <cell r="NK1" t="str">
            <v>年代35-39_全体</v>
          </cell>
          <cell r="NL1" t="str">
            <v>年代40-44_全体</v>
          </cell>
          <cell r="NM1" t="str">
            <v>年代45-49_全体</v>
          </cell>
          <cell r="NN1" t="str">
            <v>年代50-54_全体</v>
          </cell>
          <cell r="NO1" t="str">
            <v>年代55-59_全体</v>
          </cell>
          <cell r="NP1" t="str">
            <v>年代60-64_全体</v>
          </cell>
          <cell r="NQ1" t="str">
            <v>年代65-69_全体</v>
          </cell>
          <cell r="NR1" t="str">
            <v>年代70-74_全体</v>
          </cell>
          <cell r="NS1" t="str">
            <v>年代75-79_全体</v>
          </cell>
          <cell r="NT1" t="str">
            <v>年代80-84_全体</v>
          </cell>
          <cell r="NU1" t="str">
            <v>年代85-89_全体</v>
          </cell>
          <cell r="NV1" t="str">
            <v>年代90-94_全体</v>
          </cell>
          <cell r="NW1" t="str">
            <v>年代95-99_全体</v>
          </cell>
          <cell r="NX1" t="str">
            <v>年代100-104_全体</v>
          </cell>
          <cell r="NY1" t="str">
            <v>年代105-109_全体</v>
          </cell>
          <cell r="NZ1" t="str">
            <v>65以上_男</v>
          </cell>
          <cell r="OA1" t="str">
            <v>65以上_女</v>
          </cell>
          <cell r="OB1" t="str">
            <v>65以上_全体</v>
          </cell>
          <cell r="OC1" t="str">
            <v>65以上_割合</v>
          </cell>
          <cell r="OD1" t="str">
            <v>合計_男</v>
          </cell>
          <cell r="OE1" t="str">
            <v>合計_女</v>
          </cell>
          <cell r="OF1" t="str">
            <v>合計_総合計</v>
          </cell>
          <cell r="OG1" t="str">
            <v>世帯数</v>
          </cell>
          <cell r="OH1" t="str">
            <v>平均_男</v>
          </cell>
          <cell r="OI1" t="str">
            <v>平均_女</v>
          </cell>
          <cell r="OJ1" t="str">
            <v>平均_全体</v>
          </cell>
          <cell r="OK1" t="str">
            <v>作成日</v>
          </cell>
          <cell r="OL1" t="str">
            <v>集計対象</v>
          </cell>
        </row>
        <row r="2">
          <cell r="A2" t="str">
            <v>大阪府摂津市</v>
          </cell>
          <cell r="B2" t="str">
            <v>全体</v>
          </cell>
          <cell r="C2" t="str">
            <v>令和元年 9月30日</v>
          </cell>
          <cell r="D2">
            <v>406</v>
          </cell>
          <cell r="E2">
            <v>405</v>
          </cell>
          <cell r="F2">
            <v>392</v>
          </cell>
          <cell r="G2">
            <v>415</v>
          </cell>
          <cell r="H2">
            <v>369</v>
          </cell>
          <cell r="I2">
            <v>377</v>
          </cell>
          <cell r="J2">
            <v>370</v>
          </cell>
          <cell r="K2">
            <v>354</v>
          </cell>
          <cell r="L2">
            <v>358</v>
          </cell>
          <cell r="M2">
            <v>391</v>
          </cell>
          <cell r="N2">
            <v>384</v>
          </cell>
          <cell r="O2">
            <v>331</v>
          </cell>
          <cell r="P2">
            <v>381</v>
          </cell>
          <cell r="Q2">
            <v>382</v>
          </cell>
          <cell r="R2">
            <v>414</v>
          </cell>
          <cell r="S2">
            <v>396</v>
          </cell>
          <cell r="T2">
            <v>362</v>
          </cell>
          <cell r="U2">
            <v>411</v>
          </cell>
          <cell r="V2">
            <v>440</v>
          </cell>
          <cell r="W2">
            <v>467</v>
          </cell>
          <cell r="X2">
            <v>479</v>
          </cell>
          <cell r="Y2">
            <v>469</v>
          </cell>
          <cell r="Z2">
            <v>494</v>
          </cell>
          <cell r="AA2">
            <v>508</v>
          </cell>
          <cell r="AB2">
            <v>483</v>
          </cell>
          <cell r="AC2">
            <v>519</v>
          </cell>
          <cell r="AD2">
            <v>539</v>
          </cell>
          <cell r="AE2">
            <v>483</v>
          </cell>
          <cell r="AF2">
            <v>531</v>
          </cell>
          <cell r="AG2">
            <v>551</v>
          </cell>
          <cell r="AH2">
            <v>519</v>
          </cell>
          <cell r="AI2">
            <v>610</v>
          </cell>
          <cell r="AJ2">
            <v>525</v>
          </cell>
          <cell r="AK2">
            <v>530</v>
          </cell>
          <cell r="AL2">
            <v>568</v>
          </cell>
          <cell r="AM2">
            <v>570</v>
          </cell>
          <cell r="AN2">
            <v>597</v>
          </cell>
          <cell r="AO2">
            <v>570</v>
          </cell>
          <cell r="AP2">
            <v>571</v>
          </cell>
          <cell r="AQ2">
            <v>573</v>
          </cell>
          <cell r="AR2">
            <v>564</v>
          </cell>
          <cell r="AS2">
            <v>621</v>
          </cell>
          <cell r="AT2">
            <v>620</v>
          </cell>
          <cell r="AU2">
            <v>711</v>
          </cell>
          <cell r="AV2">
            <v>712</v>
          </cell>
          <cell r="AW2">
            <v>810</v>
          </cell>
          <cell r="AX2">
            <v>885</v>
          </cell>
          <cell r="AY2">
            <v>822</v>
          </cell>
          <cell r="AZ2">
            <v>781</v>
          </cell>
          <cell r="BA2">
            <v>757</v>
          </cell>
          <cell r="BB2">
            <v>706</v>
          </cell>
          <cell r="BC2">
            <v>660</v>
          </cell>
          <cell r="BD2">
            <v>675</v>
          </cell>
          <cell r="BE2">
            <v>537</v>
          </cell>
          <cell r="BF2">
            <v>541</v>
          </cell>
          <cell r="BG2">
            <v>502</v>
          </cell>
          <cell r="BH2">
            <v>493</v>
          </cell>
          <cell r="BI2">
            <v>476</v>
          </cell>
          <cell r="BJ2">
            <v>428</v>
          </cell>
          <cell r="BK2">
            <v>415</v>
          </cell>
          <cell r="BL2">
            <v>430</v>
          </cell>
          <cell r="BM2">
            <v>433</v>
          </cell>
          <cell r="BN2">
            <v>381</v>
          </cell>
          <cell r="BO2">
            <v>416</v>
          </cell>
          <cell r="BP2">
            <v>443</v>
          </cell>
          <cell r="BQ2">
            <v>396</v>
          </cell>
          <cell r="BR2">
            <v>440</v>
          </cell>
          <cell r="BS2">
            <v>474</v>
          </cell>
          <cell r="BT2">
            <v>552</v>
          </cell>
          <cell r="BU2">
            <v>574</v>
          </cell>
          <cell r="BV2">
            <v>673</v>
          </cell>
          <cell r="BW2">
            <v>651</v>
          </cell>
          <cell r="BX2">
            <v>663</v>
          </cell>
          <cell r="BY2">
            <v>355</v>
          </cell>
          <cell r="BZ2">
            <v>418</v>
          </cell>
          <cell r="CA2">
            <v>526</v>
          </cell>
          <cell r="CB2">
            <v>487</v>
          </cell>
          <cell r="CC2">
            <v>500</v>
          </cell>
          <cell r="CD2">
            <v>492</v>
          </cell>
          <cell r="CE2">
            <v>395</v>
          </cell>
          <cell r="CF2">
            <v>331</v>
          </cell>
          <cell r="CG2">
            <v>306</v>
          </cell>
          <cell r="CH2">
            <v>291</v>
          </cell>
          <cell r="CI2">
            <v>286</v>
          </cell>
          <cell r="CJ2">
            <v>207</v>
          </cell>
          <cell r="CK2">
            <v>142</v>
          </cell>
          <cell r="CL2">
            <v>140</v>
          </cell>
          <cell r="CM2">
            <v>126</v>
          </cell>
          <cell r="CN2">
            <v>96</v>
          </cell>
          <cell r="CO2">
            <v>54</v>
          </cell>
          <cell r="CP2">
            <v>57</v>
          </cell>
          <cell r="CQ2">
            <v>46</v>
          </cell>
          <cell r="CR2">
            <v>33</v>
          </cell>
          <cell r="CS2">
            <v>24</v>
          </cell>
          <cell r="CT2">
            <v>14</v>
          </cell>
          <cell r="CU2">
            <v>11</v>
          </cell>
          <cell r="CV2">
            <v>5</v>
          </cell>
          <cell r="CW2">
            <v>7</v>
          </cell>
          <cell r="CX2">
            <v>2</v>
          </cell>
          <cell r="CY2">
            <v>3</v>
          </cell>
          <cell r="CZ2">
            <v>0</v>
          </cell>
          <cell r="DA2">
            <v>1</v>
          </cell>
          <cell r="DB2">
            <v>0</v>
          </cell>
          <cell r="DC2">
            <v>1</v>
          </cell>
          <cell r="DD2">
            <v>0</v>
          </cell>
          <cell r="DE2">
            <v>0</v>
          </cell>
          <cell r="DF2">
            <v>0</v>
          </cell>
          <cell r="DG2">
            <v>364</v>
          </cell>
          <cell r="DH2">
            <v>429</v>
          </cell>
          <cell r="DI2">
            <v>339</v>
          </cell>
          <cell r="DJ2">
            <v>374</v>
          </cell>
          <cell r="DK2">
            <v>361</v>
          </cell>
          <cell r="DL2">
            <v>391</v>
          </cell>
          <cell r="DM2">
            <v>302</v>
          </cell>
          <cell r="DN2">
            <v>370</v>
          </cell>
          <cell r="DO2">
            <v>347</v>
          </cell>
          <cell r="DP2">
            <v>374</v>
          </cell>
          <cell r="DQ2">
            <v>346</v>
          </cell>
          <cell r="DR2">
            <v>354</v>
          </cell>
          <cell r="DS2">
            <v>372</v>
          </cell>
          <cell r="DT2">
            <v>349</v>
          </cell>
          <cell r="DU2">
            <v>374</v>
          </cell>
          <cell r="DV2">
            <v>367</v>
          </cell>
          <cell r="DW2">
            <v>369</v>
          </cell>
          <cell r="DX2">
            <v>404</v>
          </cell>
          <cell r="DY2">
            <v>372</v>
          </cell>
          <cell r="DZ2">
            <v>441</v>
          </cell>
          <cell r="EA2">
            <v>434</v>
          </cell>
          <cell r="EB2">
            <v>421</v>
          </cell>
          <cell r="EC2">
            <v>473</v>
          </cell>
          <cell r="ED2">
            <v>465</v>
          </cell>
          <cell r="EE2">
            <v>425</v>
          </cell>
          <cell r="EF2">
            <v>441</v>
          </cell>
          <cell r="EG2">
            <v>474</v>
          </cell>
          <cell r="EH2">
            <v>475</v>
          </cell>
          <cell r="EI2">
            <v>524</v>
          </cell>
          <cell r="EJ2">
            <v>545</v>
          </cell>
          <cell r="EK2">
            <v>504</v>
          </cell>
          <cell r="EL2">
            <v>541</v>
          </cell>
          <cell r="EM2">
            <v>552</v>
          </cell>
          <cell r="EN2">
            <v>520</v>
          </cell>
          <cell r="EO2">
            <v>515</v>
          </cell>
          <cell r="EP2">
            <v>518</v>
          </cell>
          <cell r="EQ2">
            <v>557</v>
          </cell>
          <cell r="ER2">
            <v>568</v>
          </cell>
          <cell r="ES2">
            <v>533</v>
          </cell>
          <cell r="ET2">
            <v>546</v>
          </cell>
          <cell r="EU2">
            <v>560</v>
          </cell>
          <cell r="EV2">
            <v>580</v>
          </cell>
          <cell r="EW2">
            <v>583</v>
          </cell>
          <cell r="EX2">
            <v>642</v>
          </cell>
          <cell r="EY2">
            <v>669</v>
          </cell>
          <cell r="EZ2">
            <v>730</v>
          </cell>
          <cell r="FA2">
            <v>760</v>
          </cell>
          <cell r="FB2">
            <v>770</v>
          </cell>
          <cell r="FC2">
            <v>710</v>
          </cell>
          <cell r="FD2">
            <v>690</v>
          </cell>
          <cell r="FE2">
            <v>608</v>
          </cell>
          <cell r="FF2">
            <v>616</v>
          </cell>
          <cell r="FG2">
            <v>563</v>
          </cell>
          <cell r="FH2">
            <v>410</v>
          </cell>
          <cell r="FI2">
            <v>544</v>
          </cell>
          <cell r="FJ2">
            <v>486</v>
          </cell>
          <cell r="FK2">
            <v>442</v>
          </cell>
          <cell r="FL2">
            <v>433</v>
          </cell>
          <cell r="FM2">
            <v>422</v>
          </cell>
          <cell r="FN2">
            <v>390</v>
          </cell>
          <cell r="FO2">
            <v>404</v>
          </cell>
          <cell r="FP2">
            <v>408</v>
          </cell>
          <cell r="FQ2">
            <v>401</v>
          </cell>
          <cell r="FR2">
            <v>416</v>
          </cell>
          <cell r="FS2">
            <v>429</v>
          </cell>
          <cell r="FT2">
            <v>460</v>
          </cell>
          <cell r="FU2">
            <v>507</v>
          </cell>
          <cell r="FV2">
            <v>542</v>
          </cell>
          <cell r="FW2">
            <v>583</v>
          </cell>
          <cell r="FX2">
            <v>660</v>
          </cell>
          <cell r="FY2">
            <v>772</v>
          </cell>
          <cell r="FZ2">
            <v>766</v>
          </cell>
          <cell r="GA2">
            <v>730</v>
          </cell>
          <cell r="GB2">
            <v>451</v>
          </cell>
          <cell r="GC2">
            <v>516</v>
          </cell>
          <cell r="GD2">
            <v>605</v>
          </cell>
          <cell r="GE2">
            <v>650</v>
          </cell>
          <cell r="GF2">
            <v>634</v>
          </cell>
          <cell r="GG2">
            <v>570</v>
          </cell>
          <cell r="GH2">
            <v>502</v>
          </cell>
          <cell r="GI2">
            <v>364</v>
          </cell>
          <cell r="GJ2">
            <v>395</v>
          </cell>
          <cell r="GK2">
            <v>344</v>
          </cell>
          <cell r="GL2">
            <v>319</v>
          </cell>
          <cell r="GM2">
            <v>286</v>
          </cell>
          <cell r="GN2">
            <v>280</v>
          </cell>
          <cell r="GO2">
            <v>248</v>
          </cell>
          <cell r="GP2">
            <v>185</v>
          </cell>
          <cell r="GQ2">
            <v>169</v>
          </cell>
          <cell r="GR2">
            <v>134</v>
          </cell>
          <cell r="GS2">
            <v>155</v>
          </cell>
          <cell r="GT2">
            <v>110</v>
          </cell>
          <cell r="GU2">
            <v>97</v>
          </cell>
          <cell r="GV2">
            <v>73</v>
          </cell>
          <cell r="GW2">
            <v>66</v>
          </cell>
          <cell r="GX2">
            <v>48</v>
          </cell>
          <cell r="GY2">
            <v>36</v>
          </cell>
          <cell r="GZ2">
            <v>36</v>
          </cell>
          <cell r="HA2">
            <v>13</v>
          </cell>
          <cell r="HB2">
            <v>24</v>
          </cell>
          <cell r="HC2">
            <v>8</v>
          </cell>
          <cell r="HD2">
            <v>3</v>
          </cell>
          <cell r="HE2">
            <v>1</v>
          </cell>
          <cell r="HF2">
            <v>3</v>
          </cell>
          <cell r="HG2">
            <v>3</v>
          </cell>
          <cell r="HH2">
            <v>0</v>
          </cell>
          <cell r="HI2">
            <v>1</v>
          </cell>
          <cell r="HJ2">
            <v>770</v>
          </cell>
          <cell r="HK2">
            <v>834</v>
          </cell>
          <cell r="HL2">
            <v>731</v>
          </cell>
          <cell r="HM2">
            <v>789</v>
          </cell>
          <cell r="HN2">
            <v>730</v>
          </cell>
          <cell r="HO2">
            <v>768</v>
          </cell>
          <cell r="HP2">
            <v>672</v>
          </cell>
          <cell r="HQ2">
            <v>724</v>
          </cell>
          <cell r="HR2">
            <v>705</v>
          </cell>
          <cell r="HS2">
            <v>765</v>
          </cell>
          <cell r="HT2">
            <v>730</v>
          </cell>
          <cell r="HU2">
            <v>685</v>
          </cell>
          <cell r="HV2">
            <v>753</v>
          </cell>
          <cell r="HW2">
            <v>731</v>
          </cell>
          <cell r="HX2">
            <v>788</v>
          </cell>
          <cell r="HY2">
            <v>763</v>
          </cell>
          <cell r="HZ2">
            <v>731</v>
          </cell>
          <cell r="IA2">
            <v>815</v>
          </cell>
          <cell r="IB2">
            <v>812</v>
          </cell>
          <cell r="IC2">
            <v>908</v>
          </cell>
          <cell r="ID2">
            <v>913</v>
          </cell>
          <cell r="IE2">
            <v>890</v>
          </cell>
          <cell r="IF2">
            <v>967</v>
          </cell>
          <cell r="IG2">
            <v>973</v>
          </cell>
          <cell r="IH2">
            <v>908</v>
          </cell>
          <cell r="II2">
            <v>960</v>
          </cell>
          <cell r="IJ2">
            <v>1013</v>
          </cell>
          <cell r="IK2">
            <v>958</v>
          </cell>
          <cell r="IL2">
            <v>1055</v>
          </cell>
          <cell r="IM2">
            <v>1096</v>
          </cell>
          <cell r="IN2">
            <v>1023</v>
          </cell>
          <cell r="IO2">
            <v>1151</v>
          </cell>
          <cell r="IP2">
            <v>1077</v>
          </cell>
          <cell r="IQ2">
            <v>1050</v>
          </cell>
          <cell r="IR2">
            <v>1083</v>
          </cell>
          <cell r="IS2">
            <v>1088</v>
          </cell>
          <cell r="IT2">
            <v>1154</v>
          </cell>
          <cell r="IU2">
            <v>1138</v>
          </cell>
          <cell r="IV2">
            <v>1104</v>
          </cell>
          <cell r="IW2">
            <v>1119</v>
          </cell>
          <cell r="IX2">
            <v>1124</v>
          </cell>
          <cell r="IY2">
            <v>1201</v>
          </cell>
          <cell r="IZ2">
            <v>1203</v>
          </cell>
          <cell r="JA2">
            <v>1353</v>
          </cell>
          <cell r="JB2">
            <v>1381</v>
          </cell>
          <cell r="JC2">
            <v>1540</v>
          </cell>
          <cell r="JD2">
            <v>1645</v>
          </cell>
          <cell r="JE2">
            <v>1592</v>
          </cell>
          <cell r="JF2">
            <v>1491</v>
          </cell>
          <cell r="JG2">
            <v>1447</v>
          </cell>
          <cell r="JH2">
            <v>1314</v>
          </cell>
          <cell r="JI2">
            <v>1276</v>
          </cell>
          <cell r="JJ2">
            <v>1238</v>
          </cell>
          <cell r="JK2">
            <v>947</v>
          </cell>
          <cell r="JL2">
            <v>1085</v>
          </cell>
          <cell r="JM2">
            <v>988</v>
          </cell>
          <cell r="JN2">
            <v>935</v>
          </cell>
          <cell r="JO2">
            <v>909</v>
          </cell>
          <cell r="JP2">
            <v>850</v>
          </cell>
          <cell r="JQ2">
            <v>805</v>
          </cell>
          <cell r="JR2">
            <v>834</v>
          </cell>
          <cell r="JS2">
            <v>841</v>
          </cell>
          <cell r="JT2">
            <v>782</v>
          </cell>
          <cell r="JU2">
            <v>832</v>
          </cell>
          <cell r="JV2">
            <v>872</v>
          </cell>
          <cell r="JW2">
            <v>856</v>
          </cell>
          <cell r="JX2">
            <v>947</v>
          </cell>
          <cell r="JY2">
            <v>1016</v>
          </cell>
          <cell r="JZ2">
            <v>1135</v>
          </cell>
          <cell r="KA2">
            <v>1234</v>
          </cell>
          <cell r="KB2">
            <v>1445</v>
          </cell>
          <cell r="KC2">
            <v>1417</v>
          </cell>
          <cell r="KD2">
            <v>1393</v>
          </cell>
          <cell r="KE2">
            <v>806</v>
          </cell>
          <cell r="KF2">
            <v>934</v>
          </cell>
          <cell r="KG2">
            <v>1131</v>
          </cell>
          <cell r="KH2">
            <v>1137</v>
          </cell>
          <cell r="KI2">
            <v>1134</v>
          </cell>
          <cell r="KJ2">
            <v>1062</v>
          </cell>
          <cell r="KK2">
            <v>897</v>
          </cell>
          <cell r="KL2">
            <v>695</v>
          </cell>
          <cell r="KM2">
            <v>701</v>
          </cell>
          <cell r="KN2">
            <v>635</v>
          </cell>
          <cell r="KO2">
            <v>605</v>
          </cell>
          <cell r="KP2">
            <v>493</v>
          </cell>
          <cell r="KQ2">
            <v>422</v>
          </cell>
          <cell r="KR2">
            <v>388</v>
          </cell>
          <cell r="KS2">
            <v>311</v>
          </cell>
          <cell r="KT2">
            <v>265</v>
          </cell>
          <cell r="KU2">
            <v>188</v>
          </cell>
          <cell r="KV2">
            <v>212</v>
          </cell>
          <cell r="KW2">
            <v>156</v>
          </cell>
          <cell r="KX2">
            <v>130</v>
          </cell>
          <cell r="KY2">
            <v>97</v>
          </cell>
          <cell r="KZ2">
            <v>80</v>
          </cell>
          <cell r="LA2">
            <v>59</v>
          </cell>
          <cell r="LB2">
            <v>41</v>
          </cell>
          <cell r="LC2">
            <v>43</v>
          </cell>
          <cell r="LD2">
            <v>15</v>
          </cell>
          <cell r="LE2">
            <v>27</v>
          </cell>
          <cell r="LF2">
            <v>8</v>
          </cell>
          <cell r="LG2">
            <v>4</v>
          </cell>
          <cell r="LH2">
            <v>1</v>
          </cell>
          <cell r="LI2">
            <v>4</v>
          </cell>
          <cell r="LJ2">
            <v>3</v>
          </cell>
          <cell r="LK2">
            <v>0</v>
          </cell>
          <cell r="LL2">
            <v>1</v>
          </cell>
          <cell r="LM2">
            <v>1987</v>
          </cell>
          <cell r="LN2">
            <v>1850</v>
          </cell>
          <cell r="LO2">
            <v>1892</v>
          </cell>
          <cell r="LP2">
            <v>2076</v>
          </cell>
          <cell r="LQ2">
            <v>2433</v>
          </cell>
          <cell r="LR2">
            <v>2623</v>
          </cell>
          <cell r="LS2">
            <v>2752</v>
          </cell>
          <cell r="LT2">
            <v>2881</v>
          </cell>
          <cell r="LU2">
            <v>3228</v>
          </cell>
          <cell r="LV2">
            <v>4055</v>
          </cell>
          <cell r="LW2">
            <v>3119</v>
          </cell>
          <cell r="LX2">
            <v>2314</v>
          </cell>
          <cell r="LY2">
            <v>2103</v>
          </cell>
          <cell r="LZ2">
            <v>2436</v>
          </cell>
          <cell r="MA2">
            <v>2760</v>
          </cell>
          <cell r="MB2">
            <v>2400</v>
          </cell>
          <cell r="MC2">
            <v>1421</v>
          </cell>
          <cell r="MD2">
            <v>558</v>
          </cell>
          <cell r="ME2">
            <v>174</v>
          </cell>
          <cell r="MF2">
            <v>28</v>
          </cell>
          <cell r="MG2">
            <v>2</v>
          </cell>
          <cell r="MH2">
            <v>1867</v>
          </cell>
          <cell r="MI2">
            <v>1784</v>
          </cell>
          <cell r="MJ2">
            <v>1795</v>
          </cell>
          <cell r="MK2">
            <v>1953</v>
          </cell>
          <cell r="ML2">
            <v>2218</v>
          </cell>
          <cell r="MM2">
            <v>2459</v>
          </cell>
          <cell r="MN2">
            <v>2632</v>
          </cell>
          <cell r="MO2">
            <v>2722</v>
          </cell>
          <cell r="MP2">
            <v>3034</v>
          </cell>
          <cell r="MQ2">
            <v>3660</v>
          </cell>
          <cell r="MR2">
            <v>2741</v>
          </cell>
          <cell r="MS2">
            <v>2173</v>
          </cell>
          <cell r="MT2">
            <v>2058</v>
          </cell>
          <cell r="MU2">
            <v>2752</v>
          </cell>
          <cell r="MV2">
            <v>3235</v>
          </cell>
          <cell r="MW2">
            <v>2961</v>
          </cell>
          <cell r="MX2">
            <v>1708</v>
          </cell>
          <cell r="MY2">
            <v>1016</v>
          </cell>
          <cell r="MZ2">
            <v>501</v>
          </cell>
          <cell r="NA2">
            <v>157</v>
          </cell>
          <cell r="NB2">
            <v>18</v>
          </cell>
          <cell r="NC2">
            <v>1</v>
          </cell>
          <cell r="ND2">
            <v>3854</v>
          </cell>
          <cell r="NE2">
            <v>3634</v>
          </cell>
          <cell r="NF2">
            <v>3687</v>
          </cell>
          <cell r="NG2">
            <v>4029</v>
          </cell>
          <cell r="NH2">
            <v>4651</v>
          </cell>
          <cell r="NI2">
            <v>5082</v>
          </cell>
          <cell r="NJ2">
            <v>5384</v>
          </cell>
          <cell r="NK2">
            <v>5603</v>
          </cell>
          <cell r="NL2">
            <v>6262</v>
          </cell>
          <cell r="NM2">
            <v>7715</v>
          </cell>
          <cell r="NN2">
            <v>5860</v>
          </cell>
          <cell r="NO2">
            <v>4487</v>
          </cell>
          <cell r="NP2">
            <v>4161</v>
          </cell>
          <cell r="NQ2">
            <v>5188</v>
          </cell>
          <cell r="NR2">
            <v>5995</v>
          </cell>
          <cell r="NS2">
            <v>5361</v>
          </cell>
          <cell r="NT2">
            <v>3129</v>
          </cell>
          <cell r="NU2">
            <v>1574</v>
          </cell>
          <cell r="NV2">
            <v>675</v>
          </cell>
          <cell r="NW2">
            <v>185</v>
          </cell>
          <cell r="NX2">
            <v>20</v>
          </cell>
          <cell r="NY2">
            <v>1</v>
          </cell>
          <cell r="NZ2">
            <v>9779</v>
          </cell>
          <cell r="OA2">
            <v>12349</v>
          </cell>
          <cell r="OB2">
            <v>22128</v>
          </cell>
          <cell r="OC2">
            <v>25.6</v>
          </cell>
          <cell r="OD2">
            <v>43092</v>
          </cell>
          <cell r="OE2">
            <v>43445</v>
          </cell>
          <cell r="OF2">
            <v>86537</v>
          </cell>
          <cell r="OG2">
            <v>41340</v>
          </cell>
          <cell r="OH2">
            <v>43</v>
          </cell>
          <cell r="OI2">
            <v>46</v>
          </cell>
          <cell r="OJ2">
            <v>45</v>
          </cell>
          <cell r="OK2" t="str">
            <v>令和元年10月 2日</v>
          </cell>
          <cell r="OL2" t="str">
            <v>※外国人を含めた集計です。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7"/>
  <sheetViews>
    <sheetView workbookViewId="0">
      <selection activeCell="G18" sqref="G18"/>
    </sheetView>
  </sheetViews>
  <sheetFormatPr defaultRowHeight="12.75" customHeight="1" x14ac:dyDescent="0.4"/>
  <cols>
    <col min="1" max="6" width="9" style="1"/>
    <col min="7" max="7" width="40.125" style="1" bestFit="1" customWidth="1"/>
    <col min="8" max="16384" width="9" style="1"/>
  </cols>
  <sheetData>
    <row r="1" spans="1:7" ht="19.5" x14ac:dyDescent="0.4">
      <c r="A1" s="13" t="s">
        <v>130</v>
      </c>
      <c r="B1" s="13"/>
      <c r="C1" s="13"/>
      <c r="D1" s="13"/>
      <c r="E1" s="13"/>
      <c r="G1" s="14"/>
    </row>
    <row r="2" spans="1:7" ht="12.75" customHeight="1" x14ac:dyDescent="0.4">
      <c r="A2" s="2" t="s">
        <v>0</v>
      </c>
      <c r="B2" s="2" t="s">
        <v>1</v>
      </c>
      <c r="C2" s="2" t="s">
        <v>2</v>
      </c>
      <c r="D2" s="2" t="s">
        <v>3</v>
      </c>
      <c r="E2" s="3"/>
    </row>
    <row r="3" spans="1:7" ht="12.75" customHeight="1" x14ac:dyDescent="0.4">
      <c r="A3" s="4" t="s">
        <v>4</v>
      </c>
      <c r="B3" s="5">
        <f>HLOOKUP(SUBSTITUTE(CONCATENATE(SUBSTITUTE(SUBSTITUTE(A3,"歳","")," ",""),"_男")," ",""),[1]データ貼り付けシート!$1:$2,2,FALSE)</f>
        <v>424</v>
      </c>
      <c r="C3" s="5">
        <f>HLOOKUP(SUBSTITUTE(CONCATENATE(SUBSTITUTE(SUBSTITUTE(A3,"歳","")," ",""),"_女")," ",""),[1]データ貼り付けシート!$1:$2,2,FALSE)</f>
        <v>390</v>
      </c>
      <c r="D3" s="5">
        <f>HLOOKUP(SUBSTITUTE(CONCATENATE(SUBSTITUTE(SUBSTITUTE(A3,"歳","")," ",""),"_全体")," ",""),[1]データ貼り付けシート!$1:$2,2,FALSE)</f>
        <v>814</v>
      </c>
      <c r="E3" s="3"/>
    </row>
    <row r="4" spans="1:7" ht="12.75" customHeight="1" x14ac:dyDescent="0.4">
      <c r="A4" s="4" t="s">
        <v>5</v>
      </c>
      <c r="B4" s="5">
        <f>HLOOKUP(SUBSTITUTE(CONCATENATE(SUBSTITUTE(SUBSTITUTE(A4,"歳","")," ",""),"_男")," ",""),[1]データ貼り付けシート!$1:$2,2,FALSE)</f>
        <v>405</v>
      </c>
      <c r="C4" s="5">
        <f>HLOOKUP(SUBSTITUTE(CONCATENATE(SUBSTITUTE(SUBSTITUTE(A4,"歳","")," ",""),"_女")," ",""),[1]データ貼り付けシート!$1:$2,2,FALSE)</f>
        <v>360</v>
      </c>
      <c r="D4" s="5">
        <f>HLOOKUP(SUBSTITUTE(CONCATENATE(SUBSTITUTE(SUBSTITUTE(A4,"歳","")," ",""),"_全体")," ",""),[1]データ貼り付けシート!$1:$2,2,FALSE)</f>
        <v>765</v>
      </c>
      <c r="E4" s="3"/>
    </row>
    <row r="5" spans="1:7" ht="12.75" customHeight="1" x14ac:dyDescent="0.4">
      <c r="A5" s="4" t="s">
        <v>6</v>
      </c>
      <c r="B5" s="5">
        <f>HLOOKUP(SUBSTITUTE(CONCATENATE(SUBSTITUTE(SUBSTITUTE(A5,"歳","")," ",""),"_男")," ",""),[1]データ貼り付けシート!$1:$2,2,FALSE)</f>
        <v>407</v>
      </c>
      <c r="C5" s="5">
        <f>HLOOKUP(SUBSTITUTE(CONCATENATE(SUBSTITUTE(SUBSTITUTE(A5,"歳","")," ",""),"_女")," ",""),[1]データ貼り付けシート!$1:$2,2,FALSE)</f>
        <v>387</v>
      </c>
      <c r="D5" s="5">
        <f>HLOOKUP(SUBSTITUTE(CONCATENATE(SUBSTITUTE(SUBSTITUTE(A5,"歳","")," ",""),"_全体")," ",""),[1]データ貼り付けシート!$1:$2,2,FALSE)</f>
        <v>794</v>
      </c>
      <c r="E5" s="3"/>
    </row>
    <row r="6" spans="1:7" ht="12.75" customHeight="1" x14ac:dyDescent="0.4">
      <c r="A6" s="4" t="s">
        <v>7</v>
      </c>
      <c r="B6" s="5">
        <f>HLOOKUP(SUBSTITUTE(CONCATENATE(SUBSTITUTE(SUBSTITUTE(A6,"歳","")," ",""),"_男")," ",""),[1]データ貼り付けシート!$1:$2,2,FALSE)</f>
        <v>380</v>
      </c>
      <c r="C6" s="5">
        <f>HLOOKUP(SUBSTITUTE(CONCATENATE(SUBSTITUTE(SUBSTITUTE(A6,"歳","")," ",""),"_女")," ",""),[1]データ貼り付けシート!$1:$2,2,FALSE)</f>
        <v>360</v>
      </c>
      <c r="D6" s="5">
        <f>HLOOKUP(SUBSTITUTE(CONCATENATE(SUBSTITUTE(SUBSTITUTE(A6,"歳","")," ",""),"_全体")," ",""),[1]データ貼り付けシート!$1:$2,2,FALSE)</f>
        <v>740</v>
      </c>
      <c r="E6" s="3"/>
    </row>
    <row r="7" spans="1:7" ht="12.75" customHeight="1" x14ac:dyDescent="0.4">
      <c r="A7" s="4" t="s">
        <v>8</v>
      </c>
      <c r="B7" s="5">
        <f>HLOOKUP(SUBSTITUTE(CONCATENATE(SUBSTITUTE(SUBSTITUTE(A7,"歳","")," ",""),"_男")," ",""),[1]データ貼り付けシート!$1:$2,2,FALSE)</f>
        <v>366</v>
      </c>
      <c r="C7" s="5">
        <f>HLOOKUP(SUBSTITUTE(CONCATENATE(SUBSTITUTE(SUBSTITUTE(A7,"歳","")," ",""),"_女")," ",""),[1]データ貼り付けシート!$1:$2,2,FALSE)</f>
        <v>392</v>
      </c>
      <c r="D7" s="5">
        <f>HLOOKUP(SUBSTITUTE(CONCATENATE(SUBSTITUTE(SUBSTITUTE(A7,"歳","")," ",""),"_全体")," ",""),[1]データ貼り付けシート!$1:$2,2,FALSE)</f>
        <v>758</v>
      </c>
      <c r="E7" s="3"/>
    </row>
    <row r="8" spans="1:7" ht="12.75" customHeight="1" x14ac:dyDescent="0.4">
      <c r="A8" s="4" t="s">
        <v>9</v>
      </c>
      <c r="B8" s="5">
        <f>HLOOKUP(SUBSTITUTE(CONCATENATE(SUBSTITUTE(SUBSTITUTE(A8,"歳","")," ",""),"_男")," ",""),[1]データ貼り付けシート!$1:$2,2,FALSE)</f>
        <v>385</v>
      </c>
      <c r="C8" s="5">
        <f>HLOOKUP(SUBSTITUTE(CONCATENATE(SUBSTITUTE(SUBSTITUTE(A8,"歳","")," ",""),"_女")," ",""),[1]データ貼り付けシート!$1:$2,2,FALSE)</f>
        <v>324</v>
      </c>
      <c r="D8" s="5">
        <f>HLOOKUP(SUBSTITUTE(CONCATENATE(SUBSTITUTE(SUBSTITUTE(A8,"歳","")," ",""),"_全体")," ",""),[1]データ貼り付けシート!$1:$2,2,FALSE)</f>
        <v>709</v>
      </c>
      <c r="E8" s="3"/>
    </row>
    <row r="9" spans="1:7" ht="12.75" customHeight="1" x14ac:dyDescent="0.4">
      <c r="A9" s="4" t="s">
        <v>10</v>
      </c>
      <c r="B9" s="5">
        <f>HLOOKUP(SUBSTITUTE(CONCATENATE(SUBSTITUTE(SUBSTITUTE(A9,"歳","")," ",""),"_男")," ",""),[1]データ貼り付けシート!$1:$2,2,FALSE)</f>
        <v>364</v>
      </c>
      <c r="C9" s="5">
        <f>HLOOKUP(SUBSTITUTE(CONCATENATE(SUBSTITUTE(SUBSTITUTE(A9,"歳","")," ",""),"_女")," ",""),[1]データ貼り付けシート!$1:$2,2,FALSE)</f>
        <v>350</v>
      </c>
      <c r="D9" s="5">
        <f>HLOOKUP(SUBSTITUTE(CONCATENATE(SUBSTITUTE(SUBSTITUTE(A9,"歳","")," ",""),"_全体")," ",""),[1]データ貼り付けシート!$1:$2,2,FALSE)</f>
        <v>714</v>
      </c>
      <c r="E9" s="3"/>
    </row>
    <row r="10" spans="1:7" ht="12.75" customHeight="1" x14ac:dyDescent="0.4">
      <c r="A10" s="4" t="s">
        <v>11</v>
      </c>
      <c r="B10" s="5">
        <f>HLOOKUP(SUBSTITUTE(CONCATENATE(SUBSTITUTE(SUBSTITUTE(A10,"歳","")," ",""),"_男")," ",""),[1]データ貼り付けシート!$1:$2,2,FALSE)</f>
        <v>352</v>
      </c>
      <c r="C10" s="5">
        <f>HLOOKUP(SUBSTITUTE(CONCATENATE(SUBSTITUTE(SUBSTITUTE(A10,"歳","")," ",""),"_女")," ",""),[1]データ貼り付けシート!$1:$2,2,FALSE)</f>
        <v>373</v>
      </c>
      <c r="D10" s="5">
        <f>HLOOKUP(SUBSTITUTE(CONCATENATE(SUBSTITUTE(SUBSTITUTE(A10,"歳","")," ",""),"_全体")," ",""),[1]データ貼り付けシート!$1:$2,2,FALSE)</f>
        <v>725</v>
      </c>
      <c r="E10" s="3"/>
    </row>
    <row r="11" spans="1:7" ht="12.75" customHeight="1" x14ac:dyDescent="0.4">
      <c r="A11" s="4" t="s">
        <v>12</v>
      </c>
      <c r="B11" s="5">
        <f>HLOOKUP(SUBSTITUTE(CONCATENATE(SUBSTITUTE(SUBSTITUTE(A11,"歳","")," ",""),"_男")," ",""),[1]データ貼り付けシート!$1:$2,2,FALSE)</f>
        <v>381</v>
      </c>
      <c r="C11" s="5">
        <f>HLOOKUP(SUBSTITUTE(CONCATENATE(SUBSTITUTE(SUBSTITUTE(A11,"歳","")," ",""),"_女")," ",""),[1]データ貼り付けシート!$1:$2,2,FALSE)</f>
        <v>365</v>
      </c>
      <c r="D11" s="5">
        <f>HLOOKUP(SUBSTITUTE(CONCATENATE(SUBSTITUTE(SUBSTITUTE(A11,"歳","")," ",""),"_全体")," ",""),[1]データ貼り付けシート!$1:$2,2,FALSE)</f>
        <v>746</v>
      </c>
      <c r="E11" s="3"/>
    </row>
    <row r="12" spans="1:7" ht="12.75" customHeight="1" x14ac:dyDescent="0.4">
      <c r="A12" s="4" t="s">
        <v>13</v>
      </c>
      <c r="B12" s="5">
        <f>HLOOKUP(SUBSTITUTE(CONCATENATE(SUBSTITUTE(SUBSTITUTE(A12,"歳","")," ",""),"_男")," ",""),[1]データ貼り付けシート!$1:$2,2,FALSE)</f>
        <v>395</v>
      </c>
      <c r="C12" s="5">
        <f>HLOOKUP(SUBSTITUTE(CONCATENATE(SUBSTITUTE(SUBSTITUTE(A12,"歳","")," ",""),"_女")," ",""),[1]データ貼り付けシート!$1:$2,2,FALSE)</f>
        <v>357</v>
      </c>
      <c r="D12" s="5">
        <f>HLOOKUP(SUBSTITUTE(CONCATENATE(SUBSTITUTE(SUBSTITUTE(A12,"歳","")," ",""),"_全体")," ",""),[1]データ貼り付けシート!$1:$2,2,FALSE)</f>
        <v>752</v>
      </c>
      <c r="E12" s="3"/>
    </row>
    <row r="13" spans="1:7" ht="12.75" customHeight="1" x14ac:dyDescent="0.4">
      <c r="A13" s="4" t="s">
        <v>14</v>
      </c>
      <c r="B13" s="5">
        <f>HLOOKUP(SUBSTITUTE(CONCATENATE(SUBSTITUTE(SUBSTITUTE(A13,"歳","")," ",""),"_男")," ",""),[1]データ貼り付けシート!$1:$2,2,FALSE)</f>
        <v>330</v>
      </c>
      <c r="C13" s="5">
        <f>HLOOKUP(SUBSTITUTE(CONCATENATE(SUBSTITUTE(SUBSTITUTE(A13,"歳","")," ",""),"_女")," ",""),[1]データ貼り付けシート!$1:$2,2,FALSE)</f>
        <v>362</v>
      </c>
      <c r="D13" s="5">
        <f>HLOOKUP(SUBSTITUTE(CONCATENATE(SUBSTITUTE(SUBSTITUTE(A13,"歳","")," ",""),"_全体")," ",""),[1]データ貼り付けシート!$1:$2,2,FALSE)</f>
        <v>692</v>
      </c>
      <c r="E13" s="3"/>
    </row>
    <row r="14" spans="1:7" ht="12.75" customHeight="1" x14ac:dyDescent="0.4">
      <c r="A14" s="4" t="s">
        <v>15</v>
      </c>
      <c r="B14" s="5">
        <f>HLOOKUP(SUBSTITUTE(CONCATENATE(SUBSTITUTE(SUBSTITUTE(A14,"歳","")," ",""),"_男")," ",""),[1]データ貼り付けシート!$1:$2,2,FALSE)</f>
        <v>373</v>
      </c>
      <c r="C14" s="5">
        <f>HLOOKUP(SUBSTITUTE(CONCATENATE(SUBSTITUTE(SUBSTITUTE(A14,"歳","")," ",""),"_女")," ",""),[1]データ貼り付けシート!$1:$2,2,FALSE)</f>
        <v>381</v>
      </c>
      <c r="D14" s="5">
        <f>HLOOKUP(SUBSTITUTE(CONCATENATE(SUBSTITUTE(SUBSTITUTE(A14,"歳","")," ",""),"_全体")," ",""),[1]データ貼り付けシート!$1:$2,2,FALSE)</f>
        <v>754</v>
      </c>
      <c r="E14" s="3"/>
    </row>
    <row r="15" spans="1:7" ht="12.75" customHeight="1" x14ac:dyDescent="0.4">
      <c r="A15" s="4" t="s">
        <v>16</v>
      </c>
      <c r="B15" s="5">
        <f>HLOOKUP(SUBSTITUTE(CONCATENATE(SUBSTITUTE(SUBSTITUTE(A15,"歳","")," ",""),"_男")," ",""),[1]データ貼り付けシート!$1:$2,2,FALSE)</f>
        <v>415</v>
      </c>
      <c r="C15" s="5">
        <f>HLOOKUP(SUBSTITUTE(CONCATENATE(SUBSTITUTE(SUBSTITUTE(A15,"歳","")," ",""),"_女")," ",""),[1]データ貼り付けシート!$1:$2,2,FALSE)</f>
        <v>356</v>
      </c>
      <c r="D15" s="5">
        <f>HLOOKUP(SUBSTITUTE(CONCATENATE(SUBSTITUTE(SUBSTITUTE(A15,"歳","")," ",""),"_全体")," ",""),[1]データ貼り付けシート!$1:$2,2,FALSE)</f>
        <v>771</v>
      </c>
      <c r="E15" s="3"/>
    </row>
    <row r="16" spans="1:7" ht="12.75" customHeight="1" x14ac:dyDescent="0.4">
      <c r="A16" s="4" t="s">
        <v>17</v>
      </c>
      <c r="B16" s="5">
        <f>HLOOKUP(SUBSTITUTE(CONCATENATE(SUBSTITUTE(SUBSTITUTE(A16,"歳","")," ",""),"_男")," ",""),[1]データ貼り付けシート!$1:$2,2,FALSE)</f>
        <v>368</v>
      </c>
      <c r="C16" s="5">
        <f>HLOOKUP(SUBSTITUTE(CONCATENATE(SUBSTITUTE(SUBSTITUTE(A16,"歳","")," ",""),"_女")," ",""),[1]データ貼り付けシート!$1:$2,2,FALSE)</f>
        <v>373</v>
      </c>
      <c r="D16" s="5">
        <f>HLOOKUP(SUBSTITUTE(CONCATENATE(SUBSTITUTE(SUBSTITUTE(A16,"歳","")," ",""),"_全体")," ",""),[1]データ貼り付けシート!$1:$2,2,FALSE)</f>
        <v>741</v>
      </c>
      <c r="E16" s="3"/>
    </row>
    <row r="17" spans="1:5" ht="12.75" customHeight="1" x14ac:dyDescent="0.4">
      <c r="A17" s="4" t="s">
        <v>18</v>
      </c>
      <c r="B17" s="5">
        <f>HLOOKUP(SUBSTITUTE(CONCATENATE(SUBSTITUTE(SUBSTITUTE(A17,"歳","")," ",""),"_男")," ",""),[1]データ貼り付けシート!$1:$2,2,FALSE)</f>
        <v>405</v>
      </c>
      <c r="C17" s="5">
        <f>HLOOKUP(SUBSTITUTE(CONCATENATE(SUBSTITUTE(SUBSTITUTE(A17,"歳","")," ",""),"_女")," ",""),[1]データ貼り付けシート!$1:$2,2,FALSE)</f>
        <v>356</v>
      </c>
      <c r="D17" s="5">
        <f>HLOOKUP(SUBSTITUTE(CONCATENATE(SUBSTITUTE(SUBSTITUTE(A17,"歳","")," ",""),"_全体")," ",""),[1]データ貼り付けシート!$1:$2,2,FALSE)</f>
        <v>761</v>
      </c>
      <c r="E17" s="3"/>
    </row>
    <row r="18" spans="1:5" ht="12.75" customHeight="1" x14ac:dyDescent="0.4">
      <c r="A18" s="4" t="s">
        <v>19</v>
      </c>
      <c r="B18" s="5">
        <f>HLOOKUP(SUBSTITUTE(CONCATENATE(SUBSTITUTE(SUBSTITUTE(A18,"歳","")," ",""),"_男")," ",""),[1]データ貼り付けシート!$1:$2,2,FALSE)</f>
        <v>383</v>
      </c>
      <c r="C18" s="5">
        <f>HLOOKUP(SUBSTITUTE(CONCATENATE(SUBSTITUTE(SUBSTITUTE(A18,"歳","")," ",""),"_女")," ",""),[1]データ貼り付けシート!$1:$2,2,FALSE)</f>
        <v>361</v>
      </c>
      <c r="D18" s="5">
        <f>HLOOKUP(SUBSTITUTE(CONCATENATE(SUBSTITUTE(SUBSTITUTE(A18,"歳","")," ",""),"_全体")," ",""),[1]データ貼り付けシート!$1:$2,2,FALSE)</f>
        <v>744</v>
      </c>
      <c r="E18" s="3"/>
    </row>
    <row r="19" spans="1:5" ht="12.75" customHeight="1" x14ac:dyDescent="0.4">
      <c r="A19" s="4" t="s">
        <v>20</v>
      </c>
      <c r="B19" s="5">
        <f>HLOOKUP(SUBSTITUTE(CONCATENATE(SUBSTITUTE(SUBSTITUTE(A19,"歳","")," ",""),"_男")," ",""),[1]データ貼り付けシート!$1:$2,2,FALSE)</f>
        <v>386</v>
      </c>
      <c r="C19" s="5">
        <f>HLOOKUP(SUBSTITUTE(CONCATENATE(SUBSTITUTE(SUBSTITUTE(A19,"歳","")," ",""),"_女")," ",""),[1]データ貼り付けシート!$1:$2,2,FALSE)</f>
        <v>386</v>
      </c>
      <c r="D19" s="5">
        <f>HLOOKUP(SUBSTITUTE(CONCATENATE(SUBSTITUTE(SUBSTITUTE(A19,"歳","")," ",""),"_全体")," ",""),[1]データ貼り付けシート!$1:$2,2,FALSE)</f>
        <v>772</v>
      </c>
      <c r="E19" s="3"/>
    </row>
    <row r="20" spans="1:5" ht="12.75" customHeight="1" x14ac:dyDescent="0.4">
      <c r="A20" s="4" t="s">
        <v>21</v>
      </c>
      <c r="B20" s="5">
        <f>HLOOKUP(SUBSTITUTE(CONCATENATE(SUBSTITUTE(SUBSTITUTE(A20,"歳","")," ",""),"_男")," ",""),[1]データ貼り付けシート!$1:$2,2,FALSE)</f>
        <v>445</v>
      </c>
      <c r="C20" s="5">
        <f>HLOOKUP(SUBSTITUTE(CONCATENATE(SUBSTITUTE(SUBSTITUTE(A20,"歳","")," ",""),"_女")," ",""),[1]データ貼り付けシート!$1:$2,2,FALSE)</f>
        <v>397</v>
      </c>
      <c r="D20" s="5">
        <f>HLOOKUP(SUBSTITUTE(CONCATENATE(SUBSTITUTE(SUBSTITUTE(A20,"歳","")," ",""),"_全体")," ",""),[1]データ貼り付けシート!$1:$2,2,FALSE)</f>
        <v>842</v>
      </c>
      <c r="E20" s="3"/>
    </row>
    <row r="21" spans="1:5" ht="12.75" customHeight="1" x14ac:dyDescent="0.4">
      <c r="A21" s="4" t="s">
        <v>22</v>
      </c>
      <c r="B21" s="5">
        <f>HLOOKUP(SUBSTITUTE(CONCATENATE(SUBSTITUTE(SUBSTITUTE(A21,"歳","")," ",""),"_男")," ",""),[1]データ貼り付けシート!$1:$2,2,FALSE)</f>
        <v>430</v>
      </c>
      <c r="C21" s="5">
        <f>HLOOKUP(SUBSTITUTE(CONCATENATE(SUBSTITUTE(SUBSTITUTE(A21,"歳","")," ",""),"_女")," ",""),[1]データ貼り付けシート!$1:$2,2,FALSE)</f>
        <v>390</v>
      </c>
      <c r="D21" s="5">
        <f>HLOOKUP(SUBSTITUTE(CONCATENATE(SUBSTITUTE(SUBSTITUTE(A21,"歳","")," ",""),"_全体")," ",""),[1]データ貼り付けシート!$1:$2,2,FALSE)</f>
        <v>820</v>
      </c>
      <c r="E21" s="3"/>
    </row>
    <row r="22" spans="1:5" ht="12.75" customHeight="1" x14ac:dyDescent="0.4">
      <c r="A22" s="4" t="s">
        <v>23</v>
      </c>
      <c r="B22" s="5">
        <f>HLOOKUP(SUBSTITUTE(CONCATENATE(SUBSTITUTE(SUBSTITUTE(A22,"歳","")," ",""),"_男")," ",""),[1]データ貼り付けシート!$1:$2,2,FALSE)</f>
        <v>460</v>
      </c>
      <c r="C22" s="5">
        <f>HLOOKUP(SUBSTITUTE(CONCATENATE(SUBSTITUTE(SUBSTITUTE(A22,"歳","")," ",""),"_女")," ",""),[1]データ貼り付けシート!$1:$2,2,FALSE)</f>
        <v>434</v>
      </c>
      <c r="D22" s="5">
        <f>HLOOKUP(SUBSTITUTE(CONCATENATE(SUBSTITUTE(SUBSTITUTE(A22,"歳","")," ",""),"_全体")," ",""),[1]データ貼り付けシート!$1:$2,2,FALSE)</f>
        <v>894</v>
      </c>
      <c r="E22" s="3"/>
    </row>
    <row r="23" spans="1:5" ht="12.75" customHeight="1" x14ac:dyDescent="0.4">
      <c r="A23" s="4" t="s">
        <v>24</v>
      </c>
      <c r="B23" s="5">
        <f>HLOOKUP(SUBSTITUTE(CONCATENATE(SUBSTITUTE(SUBSTITUTE(A23,"歳","")," ",""),"_男")," ",""),[1]データ貼り付けシート!$1:$2,2,FALSE)</f>
        <v>459</v>
      </c>
      <c r="C23" s="5">
        <f>HLOOKUP(SUBSTITUTE(CONCATENATE(SUBSTITUTE(SUBSTITUTE(A23,"歳","")," ",""),"_女")," ",""),[1]データ貼り付けシート!$1:$2,2,FALSE)</f>
        <v>420</v>
      </c>
      <c r="D23" s="5">
        <f>HLOOKUP(SUBSTITUTE(CONCATENATE(SUBSTITUTE(SUBSTITUTE(A23,"歳","")," ",""),"_全体")," ",""),[1]データ貼り付けシート!$1:$2,2,FALSE)</f>
        <v>879</v>
      </c>
      <c r="E23" s="3"/>
    </row>
    <row r="24" spans="1:5" ht="12.75" customHeight="1" x14ac:dyDescent="0.4">
      <c r="A24" s="4" t="s">
        <v>25</v>
      </c>
      <c r="B24" s="5">
        <f>HLOOKUP(SUBSTITUTE(CONCATENATE(SUBSTITUTE(SUBSTITUTE(A24,"歳","")," ",""),"_男")," ",""),[1]データ貼り付けシート!$1:$2,2,FALSE)</f>
        <v>437</v>
      </c>
      <c r="C24" s="5">
        <f>HLOOKUP(SUBSTITUTE(CONCATENATE(SUBSTITUTE(SUBSTITUTE(A24,"歳","")," ",""),"_女")," ",""),[1]データ貼り付けシート!$1:$2,2,FALSE)</f>
        <v>417</v>
      </c>
      <c r="D24" s="5">
        <f>HLOOKUP(SUBSTITUTE(CONCATENATE(SUBSTITUTE(SUBSTITUTE(A24,"歳","")," ",""),"_全体")," ",""),[1]データ貼り付けシート!$1:$2,2,FALSE)</f>
        <v>854</v>
      </c>
      <c r="E24" s="3"/>
    </row>
    <row r="25" spans="1:5" ht="12.75" customHeight="1" x14ac:dyDescent="0.4">
      <c r="A25" s="4" t="s">
        <v>26</v>
      </c>
      <c r="B25" s="5">
        <f>HLOOKUP(SUBSTITUTE(CONCATENATE(SUBSTITUTE(SUBSTITUTE(A25,"歳","")," ",""),"_男")," ",""),[1]データ貼り付けシート!$1:$2,2,FALSE)</f>
        <v>483</v>
      </c>
      <c r="C25" s="5">
        <f>HLOOKUP(SUBSTITUTE(CONCATENATE(SUBSTITUTE(SUBSTITUTE(A25,"歳","")," ",""),"_女")," ",""),[1]データ貼り付けシート!$1:$2,2,FALSE)</f>
        <v>450</v>
      </c>
      <c r="D25" s="5">
        <f>HLOOKUP(SUBSTITUTE(CONCATENATE(SUBSTITUTE(SUBSTITUTE(A25,"歳","")," ",""),"_全体")," ",""),[1]データ貼り付けシート!$1:$2,2,FALSE)</f>
        <v>933</v>
      </c>
      <c r="E25" s="3"/>
    </row>
    <row r="26" spans="1:5" ht="12.75" customHeight="1" x14ac:dyDescent="0.4">
      <c r="A26" s="4" t="s">
        <v>27</v>
      </c>
      <c r="B26" s="5">
        <f>HLOOKUP(SUBSTITUTE(CONCATENATE(SUBSTITUTE(SUBSTITUTE(A26,"歳","")," ",""),"_男")," ",""),[1]データ貼り付けシート!$1:$2,2,FALSE)</f>
        <v>498</v>
      </c>
      <c r="C26" s="5">
        <f>HLOOKUP(SUBSTITUTE(CONCATENATE(SUBSTITUTE(SUBSTITUTE(A26,"歳","")," ",""),"_女")," ",""),[1]データ貼り付けシート!$1:$2,2,FALSE)</f>
        <v>423</v>
      </c>
      <c r="D26" s="5">
        <f>HLOOKUP(SUBSTITUTE(CONCATENATE(SUBSTITUTE(SUBSTITUTE(A26,"歳","")," ",""),"_全体")," ",""),[1]データ貼り付けシート!$1:$2,2,FALSE)</f>
        <v>921</v>
      </c>
      <c r="E26" s="3"/>
    </row>
    <row r="27" spans="1:5" ht="12.75" customHeight="1" x14ac:dyDescent="0.4">
      <c r="A27" s="4" t="s">
        <v>28</v>
      </c>
      <c r="B27" s="5">
        <f>HLOOKUP(SUBSTITUTE(CONCATENATE(SUBSTITUTE(SUBSTITUTE(A27,"歳","")," ",""),"_男")," ",""),[1]データ貼り付けシート!$1:$2,2,FALSE)</f>
        <v>485</v>
      </c>
      <c r="C27" s="5">
        <f>HLOOKUP(SUBSTITUTE(CONCATENATE(SUBSTITUTE(SUBSTITUTE(A27,"歳","")," ",""),"_女")," ",""),[1]データ貼り付けシート!$1:$2,2,FALSE)</f>
        <v>417</v>
      </c>
      <c r="D27" s="5">
        <f>HLOOKUP(SUBSTITUTE(CONCATENATE(SUBSTITUTE(SUBSTITUTE(A27,"歳","")," ",""),"_全体")," ",""),[1]データ貼り付けシート!$1:$2,2,FALSE)</f>
        <v>902</v>
      </c>
      <c r="E27" s="3"/>
    </row>
    <row r="28" spans="1:5" ht="12.75" customHeight="1" x14ac:dyDescent="0.4">
      <c r="A28" s="4" t="s">
        <v>29</v>
      </c>
      <c r="B28" s="5">
        <f>HLOOKUP(SUBSTITUTE(CONCATENATE(SUBSTITUTE(SUBSTITUTE(A28,"歳","")," ",""),"_男")," ",""),[1]データ貼り付けシート!$1:$2,2,FALSE)</f>
        <v>515</v>
      </c>
      <c r="C28" s="5">
        <f>HLOOKUP(SUBSTITUTE(CONCATENATE(SUBSTITUTE(SUBSTITUTE(A28,"歳","")," ",""),"_女")," ",""),[1]データ貼り付けシート!$1:$2,2,FALSE)</f>
        <v>439</v>
      </c>
      <c r="D28" s="5">
        <f>HLOOKUP(SUBSTITUTE(CONCATENATE(SUBSTITUTE(SUBSTITUTE(A28,"歳","")," ",""),"_全体")," ",""),[1]データ貼り付けシート!$1:$2,2,FALSE)</f>
        <v>954</v>
      </c>
      <c r="E28" s="3"/>
    </row>
    <row r="29" spans="1:5" ht="12.75" customHeight="1" x14ac:dyDescent="0.4">
      <c r="A29" s="4" t="s">
        <v>30</v>
      </c>
      <c r="B29" s="5">
        <f>HLOOKUP(SUBSTITUTE(CONCATENATE(SUBSTITUTE(SUBSTITUTE(A29,"歳","")," ",""),"_男")," ",""),[1]データ貼り付けシート!$1:$2,2,FALSE)</f>
        <v>494</v>
      </c>
      <c r="C29" s="5">
        <f>HLOOKUP(SUBSTITUTE(CONCATENATE(SUBSTITUTE(SUBSTITUTE(A29,"歳","")," ",""),"_女")," ",""),[1]データ貼り付けシート!$1:$2,2,FALSE)</f>
        <v>476</v>
      </c>
      <c r="D29" s="5">
        <f>HLOOKUP(SUBSTITUTE(CONCATENATE(SUBSTITUTE(SUBSTITUTE(A29,"歳","")," ",""),"_全体")," ",""),[1]データ貼り付けシート!$1:$2,2,FALSE)</f>
        <v>970</v>
      </c>
      <c r="E29" s="3"/>
    </row>
    <row r="30" spans="1:5" ht="12.75" customHeight="1" x14ac:dyDescent="0.4">
      <c r="A30" s="4" t="s">
        <v>31</v>
      </c>
      <c r="B30" s="5">
        <f>HLOOKUP(SUBSTITUTE(CONCATENATE(SUBSTITUTE(SUBSTITUTE(A30,"歳","")," ",""),"_男")," ",""),[1]データ貼り付けシート!$1:$2,2,FALSE)</f>
        <v>500</v>
      </c>
      <c r="C30" s="5">
        <f>HLOOKUP(SUBSTITUTE(CONCATENATE(SUBSTITUTE(SUBSTITUTE(A30,"歳","")," ",""),"_女")," ",""),[1]データ貼り付けシート!$1:$2,2,FALSE)</f>
        <v>456</v>
      </c>
      <c r="D30" s="5">
        <f>HLOOKUP(SUBSTITUTE(CONCATENATE(SUBSTITUTE(SUBSTITUTE(A30,"歳","")," ",""),"_全体")," ",""),[1]データ貼り付けシート!$1:$2,2,FALSE)</f>
        <v>956</v>
      </c>
      <c r="E30" s="3"/>
    </row>
    <row r="31" spans="1:5" ht="12.75" customHeight="1" x14ac:dyDescent="0.4">
      <c r="A31" s="4" t="s">
        <v>32</v>
      </c>
      <c r="B31" s="5">
        <f>HLOOKUP(SUBSTITUTE(CONCATENATE(SUBSTITUTE(SUBSTITUTE(A31,"歳","")," ",""),"_男")," ",""),[1]データ貼り付けシート!$1:$2,2,FALSE)</f>
        <v>515</v>
      </c>
      <c r="C31" s="5">
        <f>HLOOKUP(SUBSTITUTE(CONCATENATE(SUBSTITUTE(SUBSTITUTE(A31,"歳","")," ",""),"_女")," ",""),[1]データ貼り付けシート!$1:$2,2,FALSE)</f>
        <v>546</v>
      </c>
      <c r="D31" s="5">
        <f>HLOOKUP(SUBSTITUTE(CONCATENATE(SUBSTITUTE(SUBSTITUTE(A31,"歳","")," ",""),"_全体")," ",""),[1]データ貼り付けシート!$1:$2,2,FALSE)</f>
        <v>1061</v>
      </c>
      <c r="E31" s="3"/>
    </row>
    <row r="32" spans="1:5" ht="12.75" customHeight="1" x14ac:dyDescent="0.4">
      <c r="A32" s="4" t="s">
        <v>33</v>
      </c>
      <c r="B32" s="5">
        <f>HLOOKUP(SUBSTITUTE(CONCATENATE(SUBSTITUTE(SUBSTITUTE(A32,"歳","")," ",""),"_男")," ",""),[1]データ貼り付けシート!$1:$2,2,FALSE)</f>
        <v>502</v>
      </c>
      <c r="C32" s="5">
        <f>HLOOKUP(SUBSTITUTE(CONCATENATE(SUBSTITUTE(SUBSTITUTE(A32,"歳","")," ",""),"_女")," ",""),[1]データ貼り付けシート!$1:$2,2,FALSE)</f>
        <v>486</v>
      </c>
      <c r="D32" s="5">
        <f>HLOOKUP(SUBSTITUTE(CONCATENATE(SUBSTITUTE(SUBSTITUTE(A32,"歳","")," ",""),"_全体")," ",""),[1]データ貼り付けシート!$1:$2,2,FALSE)</f>
        <v>988</v>
      </c>
      <c r="E32" s="3"/>
    </row>
    <row r="33" spans="1:5" ht="12.75" customHeight="1" x14ac:dyDescent="0.4">
      <c r="A33" s="4" t="s">
        <v>34</v>
      </c>
      <c r="B33" s="5">
        <f>HLOOKUP(SUBSTITUTE(CONCATENATE(SUBSTITUTE(SUBSTITUTE(A33,"歳","")," ",""),"_男")," ",""),[1]データ貼り付けシート!$1:$2,2,FALSE)</f>
        <v>592</v>
      </c>
      <c r="C33" s="5">
        <f>HLOOKUP(SUBSTITUTE(CONCATENATE(SUBSTITUTE(SUBSTITUTE(A33,"歳","")," ",""),"_女")," ",""),[1]データ貼り付けシート!$1:$2,2,FALSE)</f>
        <v>539</v>
      </c>
      <c r="D33" s="5">
        <f>HLOOKUP(SUBSTITUTE(CONCATENATE(SUBSTITUTE(SUBSTITUTE(A33,"歳","")," ",""),"_全体")," ",""),[1]データ貼り付けシート!$1:$2,2,FALSE)</f>
        <v>1131</v>
      </c>
      <c r="E33" s="3"/>
    </row>
    <row r="34" spans="1:5" ht="12.75" customHeight="1" x14ac:dyDescent="0.4">
      <c r="A34" s="4" t="s">
        <v>35</v>
      </c>
      <c r="B34" s="5">
        <f>HLOOKUP(SUBSTITUTE(CONCATENATE(SUBSTITUTE(SUBSTITUTE(A34,"歳","")," ",""),"_男")," ",""),[1]データ貼り付けシート!$1:$2,2,FALSE)</f>
        <v>519</v>
      </c>
      <c r="C34" s="5">
        <f>HLOOKUP(SUBSTITUTE(CONCATENATE(SUBSTITUTE(SUBSTITUTE(A34,"歳","")," ",""),"_女")," ",""),[1]データ貼り付けシート!$1:$2,2,FALSE)</f>
        <v>508</v>
      </c>
      <c r="D34" s="5">
        <f>HLOOKUP(SUBSTITUTE(CONCATENATE(SUBSTITUTE(SUBSTITUTE(A34,"歳","")," ",""),"_全体")," ",""),[1]データ貼り付けシート!$1:$2,2,FALSE)</f>
        <v>1027</v>
      </c>
      <c r="E34" s="3"/>
    </row>
    <row r="35" spans="1:5" ht="12.75" customHeight="1" x14ac:dyDescent="0.4">
      <c r="A35" s="4" t="s">
        <v>36</v>
      </c>
      <c r="B35" s="5">
        <f>HLOOKUP(SUBSTITUTE(CONCATENATE(SUBSTITUTE(SUBSTITUTE(A35,"歳","")," ",""),"_男")," ",""),[1]データ貼り付けシート!$1:$2,2,FALSE)</f>
        <v>520</v>
      </c>
      <c r="C35" s="5">
        <f>HLOOKUP(SUBSTITUTE(CONCATENATE(SUBSTITUTE(SUBSTITUTE(A35,"歳","")," ",""),"_女")," ",""),[1]データ貼り付けシート!$1:$2,2,FALSE)</f>
        <v>523</v>
      </c>
      <c r="D35" s="5">
        <f>HLOOKUP(SUBSTITUTE(CONCATENATE(SUBSTITUTE(SUBSTITUTE(A35,"歳","")," ",""),"_全体")," ",""),[1]データ貼り付けシート!$1:$2,2,FALSE)</f>
        <v>1043</v>
      </c>
      <c r="E35" s="3"/>
    </row>
    <row r="36" spans="1:5" ht="12.75" customHeight="1" x14ac:dyDescent="0.4">
      <c r="A36" s="4" t="s">
        <v>37</v>
      </c>
      <c r="B36" s="5">
        <f>HLOOKUP(SUBSTITUTE(CONCATENATE(SUBSTITUTE(SUBSTITUTE(A36,"歳","")," ",""),"_男")," ",""),[1]データ貼り付けシート!$1:$2,2,FALSE)</f>
        <v>550</v>
      </c>
      <c r="C36" s="5">
        <f>HLOOKUP(SUBSTITUTE(CONCATENATE(SUBSTITUTE(SUBSTITUTE(A36,"歳","")," ",""),"_女")," ",""),[1]データ貼り付けシート!$1:$2,2,FALSE)</f>
        <v>535</v>
      </c>
      <c r="D36" s="5">
        <f>HLOOKUP(SUBSTITUTE(CONCATENATE(SUBSTITUTE(SUBSTITUTE(A36,"歳","")," ",""),"_全体")," ",""),[1]データ貼り付けシート!$1:$2,2,FALSE)</f>
        <v>1085</v>
      </c>
      <c r="E36" s="3"/>
    </row>
    <row r="37" spans="1:5" ht="12.75" customHeight="1" x14ac:dyDescent="0.4">
      <c r="A37" s="4" t="s">
        <v>38</v>
      </c>
      <c r="B37" s="5">
        <f>HLOOKUP(SUBSTITUTE(CONCATENATE(SUBSTITUTE(SUBSTITUTE(A37,"歳","")," ",""),"_男")," ",""),[1]データ貼り付けシート!$1:$2,2,FALSE)</f>
        <v>575</v>
      </c>
      <c r="C37" s="5">
        <f>HLOOKUP(SUBSTITUTE(CONCATENATE(SUBSTITUTE(SUBSTITUTE(A37,"歳","")," ",""),"_女")," ",""),[1]データ貼り付けシート!$1:$2,2,FALSE)</f>
        <v>490</v>
      </c>
      <c r="D37" s="5">
        <f>HLOOKUP(SUBSTITUTE(CONCATENATE(SUBSTITUTE(SUBSTITUTE(A37,"歳","")," ",""),"_全体")," ",""),[1]データ貼り付けシート!$1:$2,2,FALSE)</f>
        <v>1065</v>
      </c>
      <c r="E37" s="3"/>
    </row>
    <row r="38" spans="1:5" ht="12.75" customHeight="1" x14ac:dyDescent="0.4">
      <c r="A38" s="4" t="s">
        <v>39</v>
      </c>
      <c r="B38" s="5">
        <f>HLOOKUP(SUBSTITUTE(CONCATENATE(SUBSTITUTE(SUBSTITUTE(A38,"歳","")," ",""),"_男")," ",""),[1]データ貼り付けシート!$1:$2,2,FALSE)</f>
        <v>537</v>
      </c>
      <c r="C38" s="5">
        <f>HLOOKUP(SUBSTITUTE(CONCATENATE(SUBSTITUTE(SUBSTITUTE(A38,"歳","")," ",""),"_女")," ",""),[1]データ貼り付けシート!$1:$2,2,FALSE)</f>
        <v>551</v>
      </c>
      <c r="D38" s="5">
        <f>HLOOKUP(SUBSTITUTE(CONCATENATE(SUBSTITUTE(SUBSTITUTE(A38,"歳","")," ",""),"_全体")," ",""),[1]データ貼り付けシート!$1:$2,2,FALSE)</f>
        <v>1088</v>
      </c>
      <c r="E38" s="3"/>
    </row>
    <row r="39" spans="1:5" ht="12.75" customHeight="1" x14ac:dyDescent="0.4">
      <c r="A39" s="4" t="s">
        <v>40</v>
      </c>
      <c r="B39" s="5">
        <f>HLOOKUP(SUBSTITUTE(CONCATENATE(SUBSTITUTE(SUBSTITUTE(A39,"歳","")," ",""),"_男")," ",""),[1]データ貼り付けシート!$1:$2,2,FALSE)</f>
        <v>585</v>
      </c>
      <c r="C39" s="5">
        <f>HLOOKUP(SUBSTITUTE(CONCATENATE(SUBSTITUTE(SUBSTITUTE(A39,"歳","")," ",""),"_女")," ",""),[1]データ貼り付けシート!$1:$2,2,FALSE)</f>
        <v>561</v>
      </c>
      <c r="D39" s="5">
        <f>HLOOKUP(SUBSTITUTE(CONCATENATE(SUBSTITUTE(SUBSTITUTE(A39,"歳","")," ",""),"_全体")," ",""),[1]データ貼り付けシート!$1:$2,2,FALSE)</f>
        <v>1146</v>
      </c>
      <c r="E39" s="3"/>
    </row>
    <row r="40" spans="1:5" ht="12.75" customHeight="1" x14ac:dyDescent="0.4">
      <c r="A40" s="4" t="s">
        <v>41</v>
      </c>
      <c r="B40" s="5">
        <f>HLOOKUP(SUBSTITUTE(CONCATENATE(SUBSTITUTE(SUBSTITUTE(A40,"歳","")," ",""),"_男")," ",""),[1]データ貼り付けシート!$1:$2,2,FALSE)</f>
        <v>546</v>
      </c>
      <c r="C40" s="5">
        <f>HLOOKUP(SUBSTITUTE(CONCATENATE(SUBSTITUTE(SUBSTITUTE(A40,"歳","")," ",""),"_女")," ",""),[1]データ貼り付けシート!$1:$2,2,FALSE)</f>
        <v>531</v>
      </c>
      <c r="D40" s="5">
        <f>HLOOKUP(SUBSTITUTE(CONCATENATE(SUBSTITUTE(SUBSTITUTE(A40,"歳","")," ",""),"_全体")," ",""),[1]データ貼り付けシート!$1:$2,2,FALSE)</f>
        <v>1077</v>
      </c>
      <c r="E40" s="3"/>
    </row>
    <row r="41" spans="1:5" ht="12.75" customHeight="1" x14ac:dyDescent="0.4">
      <c r="A41" s="4" t="s">
        <v>42</v>
      </c>
      <c r="B41" s="5">
        <f>HLOOKUP(SUBSTITUTE(CONCATENATE(SUBSTITUTE(SUBSTITUTE(A41,"歳","")," ",""),"_男")," ",""),[1]データ貼り付けシート!$1:$2,2,FALSE)</f>
        <v>584</v>
      </c>
      <c r="C41" s="5">
        <f>HLOOKUP(SUBSTITUTE(CONCATENATE(SUBSTITUTE(SUBSTITUTE(A41,"歳","")," ",""),"_女")," ",""),[1]データ貼り付けシート!$1:$2,2,FALSE)</f>
        <v>542</v>
      </c>
      <c r="D41" s="5">
        <f>HLOOKUP(SUBSTITUTE(CONCATENATE(SUBSTITUTE(SUBSTITUTE(A41,"歳","")," ",""),"_全体")," ",""),[1]データ貼り付けシート!$1:$2,2,FALSE)</f>
        <v>1126</v>
      </c>
      <c r="E41" s="3"/>
    </row>
    <row r="42" spans="1:5" ht="12.75" customHeight="1" x14ac:dyDescent="0.4">
      <c r="A42" s="4" t="s">
        <v>43</v>
      </c>
      <c r="B42" s="5">
        <f>HLOOKUP(SUBSTITUTE(CONCATENATE(SUBSTITUTE(SUBSTITUTE(A42,"歳","")," ",""),"_男")," ",""),[1]データ貼り付けシート!$1:$2,2,FALSE)</f>
        <v>565</v>
      </c>
      <c r="C42" s="5">
        <f>HLOOKUP(SUBSTITUTE(CONCATENATE(SUBSTITUTE(SUBSTITUTE(A42,"歳","")," ",""),"_女")," ",""),[1]データ貼り付けシート!$1:$2,2,FALSE)</f>
        <v>543</v>
      </c>
      <c r="D42" s="5">
        <f>HLOOKUP(SUBSTITUTE(CONCATENATE(SUBSTITUTE(SUBSTITUTE(A42,"歳","")," ",""),"_全体")," ",""),[1]データ貼り付けシート!$1:$2,2,FALSE)</f>
        <v>1108</v>
      </c>
      <c r="E42" s="3"/>
    </row>
    <row r="43" spans="1:5" ht="12.75" customHeight="1" x14ac:dyDescent="0.4">
      <c r="A43" s="4" t="s">
        <v>44</v>
      </c>
      <c r="B43" s="5">
        <f>HLOOKUP(SUBSTITUTE(CONCATENATE(SUBSTITUTE(SUBSTITUTE(A43,"歳","")," ",""),"_男")," ",""),[1]データ貼り付けシート!$1:$2,2,FALSE)</f>
        <v>599</v>
      </c>
      <c r="C43" s="5">
        <f>HLOOKUP(SUBSTITUTE(CONCATENATE(SUBSTITUTE(SUBSTITUTE(A43,"歳","")," ",""),"_女")," ",""),[1]データ貼り付けシート!$1:$2,2,FALSE)</f>
        <v>559</v>
      </c>
      <c r="D43" s="5">
        <f>HLOOKUP(SUBSTITUTE(CONCATENATE(SUBSTITUTE(SUBSTITUTE(A43,"歳","")," ",""),"_全体")," ",""),[1]データ貼り付けシート!$1:$2,2,FALSE)</f>
        <v>1158</v>
      </c>
      <c r="E43" s="3"/>
    </row>
    <row r="44" spans="1:5" ht="12.75" customHeight="1" x14ac:dyDescent="0.4">
      <c r="A44" s="4" t="s">
        <v>45</v>
      </c>
      <c r="B44" s="5">
        <f>HLOOKUP(SUBSTITUTE(CONCATENATE(SUBSTITUTE(SUBSTITUTE(A44,"歳","")," ",""),"_男")," ",""),[1]データ貼り付けシート!$1:$2,2,FALSE)</f>
        <v>656</v>
      </c>
      <c r="C44" s="5">
        <f>HLOOKUP(SUBSTITUTE(CONCATENATE(SUBSTITUTE(SUBSTITUTE(A44,"歳","")," ",""),"_女")," ",""),[1]データ貼り付けシート!$1:$2,2,FALSE)</f>
        <v>593</v>
      </c>
      <c r="D44" s="5">
        <f>HLOOKUP(SUBSTITUTE(CONCATENATE(SUBSTITUTE(SUBSTITUTE(A44,"歳","")," ",""),"_全体")," ",""),[1]データ貼り付けシート!$1:$2,2,FALSE)</f>
        <v>1249</v>
      </c>
      <c r="E44" s="3"/>
    </row>
    <row r="45" spans="1:5" ht="12.75" customHeight="1" x14ac:dyDescent="0.4">
      <c r="A45" s="4" t="s">
        <v>46</v>
      </c>
      <c r="B45" s="5">
        <f>HLOOKUP(SUBSTITUTE(CONCATENATE(SUBSTITUTE(SUBSTITUTE(A45,"歳","")," ",""),"_男")," ",""),[1]データ貼り付けシート!$1:$2,2,FALSE)</f>
        <v>641</v>
      </c>
      <c r="C45" s="5">
        <f>HLOOKUP(SUBSTITUTE(CONCATENATE(SUBSTITUTE(SUBSTITUTE(A45,"歳","")," ",""),"_女")," ",""),[1]データ貼り付けシート!$1:$2,2,FALSE)</f>
        <v>597</v>
      </c>
      <c r="D45" s="5">
        <f>HLOOKUP(SUBSTITUTE(CONCATENATE(SUBSTITUTE(SUBSTITUTE(A45,"歳","")," ",""),"_全体")," ",""),[1]データ貼り付けシート!$1:$2,2,FALSE)</f>
        <v>1238</v>
      </c>
      <c r="E45" s="3"/>
    </row>
    <row r="46" spans="1:5" ht="12.75" customHeight="1" x14ac:dyDescent="0.4">
      <c r="A46" s="4" t="s">
        <v>47</v>
      </c>
      <c r="B46" s="5">
        <f>HLOOKUP(SUBSTITUTE(CONCATENATE(SUBSTITUTE(SUBSTITUTE(A46,"歳","")," ",""),"_男")," ",""),[1]データ貼り付けシート!$1:$2,2,FALSE)</f>
        <v>713</v>
      </c>
      <c r="C46" s="5">
        <f>HLOOKUP(SUBSTITUTE(CONCATENATE(SUBSTITUTE(SUBSTITUTE(A46,"歳","")," ",""),"_女")," ",""),[1]データ貼り付けシート!$1:$2,2,FALSE)</f>
        <v>656</v>
      </c>
      <c r="D46" s="5">
        <f>HLOOKUP(SUBSTITUTE(CONCATENATE(SUBSTITUTE(SUBSTITUTE(A46,"歳","")," ",""),"_全体")," ",""),[1]データ貼り付けシート!$1:$2,2,FALSE)</f>
        <v>1369</v>
      </c>
      <c r="E46" s="3"/>
    </row>
    <row r="47" spans="1:5" ht="12.75" customHeight="1" x14ac:dyDescent="0.4">
      <c r="A47" s="4" t="s">
        <v>48</v>
      </c>
      <c r="B47" s="5">
        <f>HLOOKUP(SUBSTITUTE(CONCATENATE(SUBSTITUTE(SUBSTITUTE(A47,"歳","")," ",""),"_男")," ",""),[1]データ貼り付けシート!$1:$2,2,FALSE)</f>
        <v>768</v>
      </c>
      <c r="C47" s="5">
        <f>HLOOKUP(SUBSTITUTE(CONCATENATE(SUBSTITUTE(SUBSTITUTE(A47,"歳","")," ",""),"_女")," ",""),[1]データ貼り付けシート!$1:$2,2,FALSE)</f>
        <v>712</v>
      </c>
      <c r="D47" s="5">
        <f>HLOOKUP(SUBSTITUTE(CONCATENATE(SUBSTITUTE(SUBSTITUTE(A47,"歳","")," ",""),"_全体")," ",""),[1]データ貼り付けシート!$1:$2,2,FALSE)</f>
        <v>1480</v>
      </c>
      <c r="E47" s="3"/>
    </row>
    <row r="48" spans="1:5" ht="12.75" customHeight="1" x14ac:dyDescent="0.4">
      <c r="A48" s="4" t="s">
        <v>49</v>
      </c>
      <c r="B48" s="5">
        <f>HLOOKUP(SUBSTITUTE(CONCATENATE(SUBSTITUTE(SUBSTITUTE(A48,"歳","")," ",""),"_男")," ",""),[1]データ貼り付けシート!$1:$2,2,FALSE)</f>
        <v>885</v>
      </c>
      <c r="C48" s="5">
        <f>HLOOKUP(SUBSTITUTE(CONCATENATE(SUBSTITUTE(SUBSTITUTE(A48,"歳","")," ",""),"_女")," ",""),[1]データ貼り付けシート!$1:$2,2,FALSE)</f>
        <v>755</v>
      </c>
      <c r="D48" s="5">
        <f>HLOOKUP(SUBSTITUTE(CONCATENATE(SUBSTITUTE(SUBSTITUTE(A48,"歳","")," ",""),"_全体")," ",""),[1]データ貼り付けシート!$1:$2,2,FALSE)</f>
        <v>1640</v>
      </c>
      <c r="E48" s="3"/>
    </row>
    <row r="49" spans="1:5" ht="12.75" customHeight="1" x14ac:dyDescent="0.4">
      <c r="A49" s="4" t="s">
        <v>50</v>
      </c>
      <c r="B49" s="5">
        <f>HLOOKUP(SUBSTITUTE(CONCATENATE(SUBSTITUTE(SUBSTITUTE(A49,"歳","")," ",""),"_男")," ",""),[1]データ貼り付けシート!$1:$2,2,FALSE)</f>
        <v>825</v>
      </c>
      <c r="C49" s="5">
        <f>HLOOKUP(SUBSTITUTE(CONCATENATE(SUBSTITUTE(SUBSTITUTE(A49,"歳","")," ",""),"_女")," ",""),[1]データ貼り付けシート!$1:$2,2,FALSE)</f>
        <v>768</v>
      </c>
      <c r="D49" s="5">
        <f>HLOOKUP(SUBSTITUTE(CONCATENATE(SUBSTITUTE(SUBSTITUTE(A49,"歳","")," ",""),"_全体")," ",""),[1]データ貼り付けシート!$1:$2,2,FALSE)</f>
        <v>1593</v>
      </c>
      <c r="E49" s="3"/>
    </row>
    <row r="50" spans="1:5" ht="12.75" customHeight="1" x14ac:dyDescent="0.4">
      <c r="A50" s="4" t="s">
        <v>51</v>
      </c>
      <c r="B50" s="5">
        <f>HLOOKUP(SUBSTITUTE(CONCATENATE(SUBSTITUTE(SUBSTITUTE(A50,"歳","")," ",""),"_男")," ",""),[1]データ貼り付けシート!$1:$2,2,FALSE)</f>
        <v>789</v>
      </c>
      <c r="C50" s="5">
        <f>HLOOKUP(SUBSTITUTE(CONCATENATE(SUBSTITUTE(SUBSTITUTE(A50,"歳","")," ",""),"_女")," ",""),[1]データ貼り付けシート!$1:$2,2,FALSE)</f>
        <v>734</v>
      </c>
      <c r="D50" s="5">
        <f>HLOOKUP(SUBSTITUTE(CONCATENATE(SUBSTITUTE(SUBSTITUTE(A50,"歳","")," ",""),"_全体")," ",""),[1]データ貼り付けシート!$1:$2,2,FALSE)</f>
        <v>1523</v>
      </c>
      <c r="E50" s="3"/>
    </row>
    <row r="51" spans="1:5" ht="12.75" customHeight="1" x14ac:dyDescent="0.4">
      <c r="A51" s="4" t="s">
        <v>52</v>
      </c>
      <c r="B51" s="5">
        <f>HLOOKUP(SUBSTITUTE(CONCATENATE(SUBSTITUTE(SUBSTITUTE(A51,"歳","")," ",""),"_男")," ",""),[1]データ貼り付けシート!$1:$2,2,FALSE)</f>
        <v>755</v>
      </c>
      <c r="C51" s="5">
        <f>HLOOKUP(SUBSTITUTE(CONCATENATE(SUBSTITUTE(SUBSTITUTE(A51,"歳","")," ",""),"_女")," ",""),[1]データ貼り付けシート!$1:$2,2,FALSE)</f>
        <v>714</v>
      </c>
      <c r="D51" s="5">
        <f>HLOOKUP(SUBSTITUTE(CONCATENATE(SUBSTITUTE(SUBSTITUTE(A51,"歳","")," ",""),"_全体")," ",""),[1]データ貼り付けシート!$1:$2,2,FALSE)</f>
        <v>1469</v>
      </c>
      <c r="E51" s="3"/>
    </row>
    <row r="52" spans="1:5" ht="12.75" customHeight="1" x14ac:dyDescent="0.4">
      <c r="A52" s="4" t="s">
        <v>53</v>
      </c>
      <c r="B52" s="5">
        <f>HLOOKUP(SUBSTITUTE(CONCATENATE(SUBSTITUTE(SUBSTITUTE(A52,"歳","")," ",""),"_男")," ",""),[1]データ貼り付けシート!$1:$2,2,FALSE)</f>
        <v>730</v>
      </c>
      <c r="C52" s="5">
        <f>HLOOKUP(SUBSTITUTE(CONCATENATE(SUBSTITUTE(SUBSTITUTE(A52,"歳","")," ",""),"_女")," ",""),[1]データ貼り付けシート!$1:$2,2,FALSE)</f>
        <v>613</v>
      </c>
      <c r="D52" s="5">
        <f>HLOOKUP(SUBSTITUTE(CONCATENATE(SUBSTITUTE(SUBSTITUTE(A52,"歳","")," ",""),"_全体")," ",""),[1]データ貼り付けシート!$1:$2,2,FALSE)</f>
        <v>1343</v>
      </c>
      <c r="E52" s="3"/>
    </row>
    <row r="53" spans="1:5" ht="12.75" customHeight="1" x14ac:dyDescent="0.4">
      <c r="A53" s="4" t="s">
        <v>54</v>
      </c>
      <c r="B53" s="5">
        <f>HLOOKUP(SUBSTITUTE(CONCATENATE(SUBSTITUTE(SUBSTITUTE(A53,"歳","")," ",""),"_男")," ",""),[1]データ貼り付けシート!$1:$2,2,FALSE)</f>
        <v>682</v>
      </c>
      <c r="C53" s="5">
        <f>HLOOKUP(SUBSTITUTE(CONCATENATE(SUBSTITUTE(SUBSTITUTE(A53,"歳","")," ",""),"_女")," ",""),[1]データ貼り付けシート!$1:$2,2,FALSE)</f>
        <v>626</v>
      </c>
      <c r="D53" s="5">
        <f>HLOOKUP(SUBSTITUTE(CONCATENATE(SUBSTITUTE(SUBSTITUTE(A53,"歳","")," ",""),"_全体")," ",""),[1]データ貼り付けシート!$1:$2,2,FALSE)</f>
        <v>1308</v>
      </c>
      <c r="E53" s="3"/>
    </row>
    <row r="54" spans="1:5" ht="12.75" customHeight="1" x14ac:dyDescent="0.4">
      <c r="A54" s="4" t="s">
        <v>55</v>
      </c>
      <c r="B54" s="5">
        <f>HLOOKUP(SUBSTITUTE(CONCATENATE(SUBSTITUTE(SUBSTITUTE(A54,"歳","")," ",""),"_男")," ",""),[1]データ貼り付けシート!$1:$2,2,FALSE)</f>
        <v>698</v>
      </c>
      <c r="C54" s="5">
        <f>HLOOKUP(SUBSTITUTE(CONCATENATE(SUBSTITUTE(SUBSTITUTE(A54,"歳","")," ",""),"_女")," ",""),[1]データ貼り付けシート!$1:$2,2,FALSE)</f>
        <v>615</v>
      </c>
      <c r="D54" s="5">
        <f>HLOOKUP(SUBSTITUTE(CONCATENATE(SUBSTITUTE(SUBSTITUTE(A54,"歳","")," ",""),"_全体")," ",""),[1]データ貼り付けシート!$1:$2,2,FALSE)</f>
        <v>1313</v>
      </c>
      <c r="E54" s="3"/>
    </row>
    <row r="55" spans="1:5" ht="12.75" customHeight="1" x14ac:dyDescent="0.4">
      <c r="A55" s="4" t="s">
        <v>56</v>
      </c>
      <c r="B55" s="5">
        <f>HLOOKUP(SUBSTITUTE(CONCATENATE(SUBSTITUTE(SUBSTITUTE(A55,"歳","")," ",""),"_男")," ",""),[1]データ貼り付けシート!$1:$2,2,FALSE)</f>
        <v>509</v>
      </c>
      <c r="C55" s="5">
        <f>HLOOKUP(SUBSTITUTE(CONCATENATE(SUBSTITUTE(SUBSTITUTE(A55,"歳","")," ",""),"_女")," ",""),[1]データ貼り付けシート!$1:$2,2,FALSE)</f>
        <v>412</v>
      </c>
      <c r="D55" s="5">
        <f>HLOOKUP(SUBSTITUTE(CONCATENATE(SUBSTITUTE(SUBSTITUTE(A55,"歳","")," ",""),"_全体")," ",""),[1]データ貼り付けシート!$1:$2,2,FALSE)</f>
        <v>921</v>
      </c>
      <c r="E55" s="3"/>
    </row>
    <row r="56" spans="1:5" ht="12.75" customHeight="1" x14ac:dyDescent="0.4">
      <c r="A56" s="4" t="s">
        <v>57</v>
      </c>
      <c r="B56" s="5">
        <f>HLOOKUP(SUBSTITUTE(CONCATENATE(SUBSTITUTE(SUBSTITUTE(A56,"歳","")," ",""),"_男")," ",""),[1]データ貼り付けシート!$1:$2,2,FALSE)</f>
        <v>571</v>
      </c>
      <c r="C56" s="5">
        <f>HLOOKUP(SUBSTITUTE(CONCATENATE(SUBSTITUTE(SUBSTITUTE(A56,"歳","")," ",""),"_女")," ",""),[1]データ貼り付けシート!$1:$2,2,FALSE)</f>
        <v>518</v>
      </c>
      <c r="D56" s="5">
        <f>HLOOKUP(SUBSTITUTE(CONCATENATE(SUBSTITUTE(SUBSTITUTE(A56,"歳","")," ",""),"_全体")," ",""),[1]データ貼り付けシート!$1:$2,2,FALSE)</f>
        <v>1089</v>
      </c>
      <c r="E56" s="3"/>
    </row>
    <row r="57" spans="1:5" ht="12.75" customHeight="1" x14ac:dyDescent="0.4">
      <c r="A57" s="4" t="s">
        <v>58</v>
      </c>
      <c r="B57" s="5">
        <f>HLOOKUP(SUBSTITUTE(CONCATENATE(SUBSTITUTE(SUBSTITUTE(A57,"歳","")," ",""),"_男")," ",""),[1]データ貼り付けシート!$1:$2,2,FALSE)</f>
        <v>523</v>
      </c>
      <c r="C57" s="5">
        <f>HLOOKUP(SUBSTITUTE(CONCATENATE(SUBSTITUTE(SUBSTITUTE(A57,"歳","")," ",""),"_女")," ",""),[1]データ貼り付けシート!$1:$2,2,FALSE)</f>
        <v>486</v>
      </c>
      <c r="D57" s="5">
        <f>HLOOKUP(SUBSTITUTE(CONCATENATE(SUBSTITUTE(SUBSTITUTE(A57,"歳","")," ",""),"_全体")," ",""),[1]データ貼り付けシート!$1:$2,2,FALSE)</f>
        <v>1009</v>
      </c>
      <c r="E57" s="3"/>
    </row>
    <row r="58" spans="1:5" ht="12.75" customHeight="1" x14ac:dyDescent="0.4">
      <c r="A58" s="4" t="s">
        <v>59</v>
      </c>
      <c r="B58" s="5">
        <f>HLOOKUP(SUBSTITUTE(CONCATENATE(SUBSTITUTE(SUBSTITUTE(A58,"歳","")," ",""),"_男")," ",""),[1]データ貼り付けシート!$1:$2,2,FALSE)</f>
        <v>483</v>
      </c>
      <c r="C58" s="5">
        <f>HLOOKUP(SUBSTITUTE(CONCATENATE(SUBSTITUTE(SUBSTITUTE(A58,"歳","")," ",""),"_女")," ",""),[1]データ貼り付けシート!$1:$2,2,FALSE)</f>
        <v>467</v>
      </c>
      <c r="D58" s="5">
        <f>HLOOKUP(SUBSTITUTE(CONCATENATE(SUBSTITUTE(SUBSTITUTE(A58,"歳","")," ",""),"_全体")," ",""),[1]データ貼り付けシート!$1:$2,2,FALSE)</f>
        <v>950</v>
      </c>
      <c r="E58" s="3"/>
    </row>
    <row r="59" spans="1:5" ht="12.75" customHeight="1" x14ac:dyDescent="0.4">
      <c r="A59" s="4" t="s">
        <v>60</v>
      </c>
      <c r="B59" s="5">
        <f>HLOOKUP(SUBSTITUTE(CONCATENATE(SUBSTITUTE(SUBSTITUTE(A59,"歳","")," ",""),"_男")," ",""),[1]データ貼り付けシート!$1:$2,2,FALSE)</f>
        <v>482</v>
      </c>
      <c r="C59" s="5">
        <f>HLOOKUP(SUBSTITUTE(CONCATENATE(SUBSTITUTE(SUBSTITUTE(A59,"歳","")," ",""),"_女")," ",""),[1]データ貼り付けシート!$1:$2,2,FALSE)</f>
        <v>436</v>
      </c>
      <c r="D59" s="5">
        <f>HLOOKUP(SUBSTITUTE(CONCATENATE(SUBSTITUTE(SUBSTITUTE(A59,"歳","")," ",""),"_全体")," ",""),[1]データ貼り付けシート!$1:$2,2,FALSE)</f>
        <v>918</v>
      </c>
      <c r="E59" s="3"/>
    </row>
    <row r="60" spans="1:5" ht="12.75" customHeight="1" x14ac:dyDescent="0.4">
      <c r="A60" s="4" t="s">
        <v>61</v>
      </c>
      <c r="B60" s="5">
        <f>HLOOKUP(SUBSTITUTE(CONCATENATE(SUBSTITUTE(SUBSTITUTE(A60,"歳","")," ",""),"_男")," ",""),[1]データ貼り付けシート!$1:$2,2,FALSE)</f>
        <v>445</v>
      </c>
      <c r="C60" s="5">
        <f>HLOOKUP(SUBSTITUTE(CONCATENATE(SUBSTITUTE(SUBSTITUTE(A60,"歳","")," ",""),"_女")," ",""),[1]データ貼り付けシート!$1:$2,2,FALSE)</f>
        <v>418</v>
      </c>
      <c r="D60" s="5">
        <f>HLOOKUP(SUBSTITUTE(CONCATENATE(SUBSTITUTE(SUBSTITUTE(A60,"歳","")," ",""),"_全体")," ",""),[1]データ貼り付けシート!$1:$2,2,FALSE)</f>
        <v>863</v>
      </c>
      <c r="E60" s="3"/>
    </row>
    <row r="61" spans="1:5" ht="12.75" customHeight="1" x14ac:dyDescent="0.4">
      <c r="A61" s="4" t="s">
        <v>62</v>
      </c>
      <c r="B61" s="5">
        <f>HLOOKUP(SUBSTITUTE(CONCATENATE(SUBSTITUTE(SUBSTITUTE(A61,"歳","")," ",""),"_男")," ",""),[1]データ貼り付けシート!$1:$2,2,FALSE)</f>
        <v>430</v>
      </c>
      <c r="C61" s="5">
        <f>HLOOKUP(SUBSTITUTE(CONCATENATE(SUBSTITUTE(SUBSTITUTE(A61,"歳","")," ",""),"_女")," ",""),[1]データ貼り付けシート!$1:$2,2,FALSE)</f>
        <v>398</v>
      </c>
      <c r="D61" s="5">
        <f>HLOOKUP(SUBSTITUTE(CONCATENATE(SUBSTITUTE(SUBSTITUTE(A61,"歳","")," ",""),"_全体")," ",""),[1]データ貼り付けシート!$1:$2,2,FALSE)</f>
        <v>828</v>
      </c>
      <c r="E61" s="3"/>
    </row>
    <row r="62" spans="1:5" ht="12.75" customHeight="1" x14ac:dyDescent="0.4">
      <c r="A62" s="4" t="s">
        <v>63</v>
      </c>
      <c r="B62" s="5">
        <f>HLOOKUP(SUBSTITUTE(CONCATENATE(SUBSTITUTE(SUBSTITUTE(A62,"歳","")," ",""),"_男")," ",""),[1]データ貼り付けシート!$1:$2,2,FALSE)</f>
        <v>402</v>
      </c>
      <c r="C62" s="5">
        <f>HLOOKUP(SUBSTITUTE(CONCATENATE(SUBSTITUTE(SUBSTITUTE(A62,"歳","")," ",""),"_女")," ",""),[1]データ貼り付けシート!$1:$2,2,FALSE)</f>
        <v>392</v>
      </c>
      <c r="D62" s="5">
        <f>HLOOKUP(SUBSTITUTE(CONCATENATE(SUBSTITUTE(SUBSTITUTE(A62,"歳","")," ",""),"_全体")," ",""),[1]データ貼り付けシート!$1:$2,2,FALSE)</f>
        <v>794</v>
      </c>
      <c r="E62" s="3"/>
    </row>
    <row r="63" spans="1:5" ht="12.75" customHeight="1" x14ac:dyDescent="0.4">
      <c r="A63" s="4" t="s">
        <v>64</v>
      </c>
      <c r="B63" s="5">
        <f>HLOOKUP(SUBSTITUTE(CONCATENATE(SUBSTITUTE(SUBSTITUTE(A63,"歳","")," ",""),"_男")," ",""),[1]データ貼り付けシート!$1:$2,2,FALSE)</f>
        <v>459</v>
      </c>
      <c r="C63" s="5">
        <f>HLOOKUP(SUBSTITUTE(CONCATENATE(SUBSTITUTE(SUBSTITUTE(A63,"歳","")," ",""),"_女")," ",""),[1]データ貼り付けシート!$1:$2,2,FALSE)</f>
        <v>413</v>
      </c>
      <c r="D63" s="5">
        <f>HLOOKUP(SUBSTITUTE(CONCATENATE(SUBSTITUTE(SUBSTITUTE(A63,"歳","")," ",""),"_全体")," ",""),[1]データ貼り付けシート!$1:$2,2,FALSE)</f>
        <v>872</v>
      </c>
      <c r="E63" s="3"/>
    </row>
    <row r="64" spans="1:5" ht="12.75" customHeight="1" x14ac:dyDescent="0.4">
      <c r="A64" s="4" t="s">
        <v>65</v>
      </c>
      <c r="B64" s="5">
        <f>HLOOKUP(SUBSTITUTE(CONCATENATE(SUBSTITUTE(SUBSTITUTE(A64,"歳","")," ",""),"_男")," ",""),[1]データ貼り付けシート!$1:$2,2,FALSE)</f>
        <v>391</v>
      </c>
      <c r="C64" s="5">
        <f>HLOOKUP(SUBSTITUTE(CONCATENATE(SUBSTITUTE(SUBSTITUTE(A64,"歳","")," ",""),"_女")," ",""),[1]データ貼り付けシート!$1:$2,2,FALSE)</f>
        <v>396</v>
      </c>
      <c r="D64" s="5">
        <f>HLOOKUP(SUBSTITUTE(CONCATENATE(SUBSTITUTE(SUBSTITUTE(A64,"歳","")," ",""),"_全体")," ",""),[1]データ貼り付けシート!$1:$2,2,FALSE)</f>
        <v>787</v>
      </c>
      <c r="E64" s="3"/>
    </row>
    <row r="65" spans="1:5" ht="12.75" customHeight="1" x14ac:dyDescent="0.4">
      <c r="A65" s="4" t="s">
        <v>66</v>
      </c>
      <c r="B65" s="5">
        <f>HLOOKUP(SUBSTITUTE(CONCATENATE(SUBSTITUTE(SUBSTITUTE(A65,"歳","")," ",""),"_男")," ",""),[1]データ貼り付けシート!$1:$2,2,FALSE)</f>
        <v>405</v>
      </c>
      <c r="C65" s="5">
        <f>HLOOKUP(SUBSTITUTE(CONCATENATE(SUBSTITUTE(SUBSTITUTE(A65,"歳","")," ",""),"_女")," ",""),[1]データ貼り付けシート!$1:$2,2,FALSE)</f>
        <v>406</v>
      </c>
      <c r="D65" s="5">
        <f>HLOOKUP(SUBSTITUTE(CONCATENATE(SUBSTITUTE(SUBSTITUTE(A65,"歳","")," ",""),"_全体")," ",""),[1]データ貼り付けシート!$1:$2,2,FALSE)</f>
        <v>811</v>
      </c>
      <c r="E65" s="3"/>
    </row>
    <row r="66" spans="1:5" ht="12.75" customHeight="1" x14ac:dyDescent="0.4">
      <c r="A66" s="4" t="s">
        <v>67</v>
      </c>
      <c r="B66" s="5">
        <f>HLOOKUP(SUBSTITUTE(CONCATENATE(SUBSTITUTE(SUBSTITUTE(A66,"歳","")," ",""),"_男")," ",""),[1]データ貼り付けシート!$1:$2,2,FALSE)</f>
        <v>422</v>
      </c>
      <c r="C66" s="5">
        <f>HLOOKUP(SUBSTITUTE(CONCATENATE(SUBSTITUTE(SUBSTITUTE(A66,"歳","")," ",""),"_女")," ",""),[1]データ貼り付けシート!$1:$2,2,FALSE)</f>
        <v>427</v>
      </c>
      <c r="D66" s="5">
        <f>HLOOKUP(SUBSTITUTE(CONCATENATE(SUBSTITUTE(SUBSTITUTE(A66,"歳","")," ",""),"_全体")," ",""),[1]データ貼り付けシート!$1:$2,2,FALSE)</f>
        <v>849</v>
      </c>
      <c r="E66" s="3"/>
    </row>
    <row r="67" spans="1:5" ht="12.75" customHeight="1" x14ac:dyDescent="0.4">
      <c r="A67" s="4" t="s">
        <v>68</v>
      </c>
      <c r="B67" s="5">
        <f>HLOOKUP(SUBSTITUTE(CONCATENATE(SUBSTITUTE(SUBSTITUTE(A67,"歳","")," ",""),"_男")," ",""),[1]データ貼り付けシート!$1:$2,2,FALSE)</f>
        <v>423</v>
      </c>
      <c r="C67" s="5">
        <f>HLOOKUP(SUBSTITUTE(CONCATENATE(SUBSTITUTE(SUBSTITUTE(A67,"歳","")," ",""),"_女")," ",""),[1]データ貼り付けシート!$1:$2,2,FALSE)</f>
        <v>454</v>
      </c>
      <c r="D67" s="5">
        <f>HLOOKUP(SUBSTITUTE(CONCATENATE(SUBSTITUTE(SUBSTITUTE(A67,"歳","")," ",""),"_全体")," ",""),[1]データ貼り付けシート!$1:$2,2,FALSE)</f>
        <v>877</v>
      </c>
      <c r="E67" s="3"/>
    </row>
    <row r="68" spans="1:5" ht="12.75" customHeight="1" x14ac:dyDescent="0.4">
      <c r="A68" s="4" t="s">
        <v>69</v>
      </c>
      <c r="B68" s="5">
        <f>HLOOKUP(SUBSTITUTE(CONCATENATE(SUBSTITUTE(SUBSTITUTE(A68,"歳","")," ",""),"_男")," ",""),[1]データ貼り付けシート!$1:$2,2,FALSE)</f>
        <v>413</v>
      </c>
      <c r="C68" s="5">
        <f>HLOOKUP(SUBSTITUTE(CONCATENATE(SUBSTITUTE(SUBSTITUTE(A68,"歳","")," ",""),"_女")," ",""),[1]データ貼り付けシート!$1:$2,2,FALSE)</f>
        <v>477</v>
      </c>
      <c r="D68" s="5">
        <f>HLOOKUP(SUBSTITUTE(CONCATENATE(SUBSTITUTE(SUBSTITUTE(A68,"歳","")," ",""),"_全体")," ",""),[1]データ貼り付けシート!$1:$2,2,FALSE)</f>
        <v>890</v>
      </c>
      <c r="E68" s="3"/>
    </row>
    <row r="69" spans="1:5" ht="12.75" customHeight="1" x14ac:dyDescent="0.4">
      <c r="A69" s="4" t="s">
        <v>70</v>
      </c>
      <c r="B69" s="5">
        <f>HLOOKUP(SUBSTITUTE(CONCATENATE(SUBSTITUTE(SUBSTITUTE(A69,"歳","")," ",""),"_男")," ",""),[1]データ貼り付けシート!$1:$2,2,FALSE)</f>
        <v>484</v>
      </c>
      <c r="C69" s="5">
        <f>HLOOKUP(SUBSTITUTE(CONCATENATE(SUBSTITUTE(SUBSTITUTE(A69,"歳","")," ",""),"_女")," ",""),[1]データ貼り付けシート!$1:$2,2,FALSE)</f>
        <v>519</v>
      </c>
      <c r="D69" s="5">
        <f>HLOOKUP(SUBSTITUTE(CONCATENATE(SUBSTITUTE(SUBSTITUTE(A69,"歳","")," ",""),"_全体")," ",""),[1]データ貼り付けシート!$1:$2,2,FALSE)</f>
        <v>1003</v>
      </c>
      <c r="E69" s="3"/>
    </row>
    <row r="70" spans="1:5" ht="12.75" customHeight="1" x14ac:dyDescent="0.4">
      <c r="A70" s="4" t="s">
        <v>71</v>
      </c>
      <c r="B70" s="5">
        <f>HLOOKUP(SUBSTITUTE(CONCATENATE(SUBSTITUTE(SUBSTITUTE(A70,"歳","")," ",""),"_男")," ",""),[1]データ貼り付けシート!$1:$2,2,FALSE)</f>
        <v>514</v>
      </c>
      <c r="C70" s="5">
        <f>HLOOKUP(SUBSTITUTE(CONCATENATE(SUBSTITUTE(SUBSTITUTE(A70,"歳","")," ",""),"_女")," ",""),[1]データ貼り付けシート!$1:$2,2,FALSE)</f>
        <v>569</v>
      </c>
      <c r="D70" s="5">
        <f>HLOOKUP(SUBSTITUTE(CONCATENATE(SUBSTITUTE(SUBSTITUTE(A70,"歳","")," ",""),"_全体")," ",""),[1]データ貼り付けシート!$1:$2,2,FALSE)</f>
        <v>1083</v>
      </c>
      <c r="E70" s="3"/>
    </row>
    <row r="71" spans="1:5" ht="12.75" customHeight="1" x14ac:dyDescent="0.4">
      <c r="A71" s="4" t="s">
        <v>72</v>
      </c>
      <c r="B71" s="5">
        <f>HLOOKUP(SUBSTITUTE(CONCATENATE(SUBSTITUTE(SUBSTITUTE(A71,"歳","")," ",""),"_男")," ",""),[1]データ貼り付けシート!$1:$2,2,FALSE)</f>
        <v>575</v>
      </c>
      <c r="C71" s="5">
        <f>HLOOKUP(SUBSTITUTE(CONCATENATE(SUBSTITUTE(SUBSTITUTE(A71,"歳","")," ",""),"_女")," ",""),[1]データ貼り付けシート!$1:$2,2,FALSE)</f>
        <v>638</v>
      </c>
      <c r="D71" s="5">
        <f>HLOOKUP(SUBSTITUTE(CONCATENATE(SUBSTITUTE(SUBSTITUTE(A71,"歳","")," ",""),"_全体")," ",""),[1]データ貼り付けシート!$1:$2,2,FALSE)</f>
        <v>1213</v>
      </c>
      <c r="E71" s="3"/>
    </row>
    <row r="72" spans="1:5" ht="12.75" customHeight="1" x14ac:dyDescent="0.4">
      <c r="A72" s="4" t="s">
        <v>73</v>
      </c>
      <c r="B72" s="5">
        <f>HLOOKUP(SUBSTITUTE(CONCATENATE(SUBSTITUTE(SUBSTITUTE(A72,"歳","")," ",""),"_男")," ",""),[1]データ貼り付けシート!$1:$2,2,FALSE)</f>
        <v>652</v>
      </c>
      <c r="C72" s="5">
        <f>HLOOKUP(SUBSTITUTE(CONCATENATE(SUBSTITUTE(SUBSTITUTE(A72,"歳","")," ",""),"_女")," ",""),[1]データ貼り付けシート!$1:$2,2,FALSE)</f>
        <v>752</v>
      </c>
      <c r="D72" s="5">
        <f>HLOOKUP(SUBSTITUTE(CONCATENATE(SUBSTITUTE(SUBSTITUTE(A72,"歳","")," ",""),"_全体")," ",""),[1]データ貼り付けシート!$1:$2,2,FALSE)</f>
        <v>1404</v>
      </c>
      <c r="E72" s="3"/>
    </row>
    <row r="73" spans="1:5" ht="12.75" customHeight="1" x14ac:dyDescent="0.4">
      <c r="A73" s="4" t="s">
        <v>74</v>
      </c>
      <c r="B73" s="5">
        <f>HLOOKUP(SUBSTITUTE(CONCATENATE(SUBSTITUTE(SUBSTITUTE(A73,"歳","")," ",""),"_男")," ",""),[1]データ貼り付けシート!$1:$2,2,FALSE)</f>
        <v>668</v>
      </c>
      <c r="C73" s="5">
        <f>HLOOKUP(SUBSTITUTE(CONCATENATE(SUBSTITUTE(SUBSTITUTE(A73,"歳","")," ",""),"_女")," ",""),[1]データ貼り付けシート!$1:$2,2,FALSE)</f>
        <v>770</v>
      </c>
      <c r="D73" s="5">
        <f>HLOOKUP(SUBSTITUTE(CONCATENATE(SUBSTITUTE(SUBSTITUTE(A73,"歳","")," ",""),"_全体")," ",""),[1]データ貼り付けシート!$1:$2,2,FALSE)</f>
        <v>1438</v>
      </c>
      <c r="E73" s="3"/>
    </row>
    <row r="74" spans="1:5" ht="12.75" customHeight="1" x14ac:dyDescent="0.4">
      <c r="A74" s="4" t="s">
        <v>75</v>
      </c>
      <c r="B74" s="5">
        <f>HLOOKUP(SUBSTITUTE(CONCATENATE(SUBSTITUTE(SUBSTITUTE(A74,"歳","")," ",""),"_男")," ",""),[1]データ貼り付けシート!$1:$2,2,FALSE)</f>
        <v>690</v>
      </c>
      <c r="C74" s="5">
        <f>HLOOKUP(SUBSTITUTE(CONCATENATE(SUBSTITUTE(SUBSTITUTE(A74,"歳","")," ",""),"_女")," ",""),[1]データ貼り付けシート!$1:$2,2,FALSE)</f>
        <v>782</v>
      </c>
      <c r="D74" s="5">
        <f>HLOOKUP(SUBSTITUTE(CONCATENATE(SUBSTITUTE(SUBSTITUTE(A74,"歳","")," ",""),"_全体")," ",""),[1]データ貼り付けシート!$1:$2,2,FALSE)</f>
        <v>1472</v>
      </c>
      <c r="E74" s="3"/>
    </row>
    <row r="75" spans="1:5" ht="12.75" customHeight="1" x14ac:dyDescent="0.4">
      <c r="A75" s="4" t="s">
        <v>76</v>
      </c>
      <c r="B75" s="5">
        <f>HLOOKUP(SUBSTITUTE(CONCATENATE(SUBSTITUTE(SUBSTITUTE(A75,"歳","")," ",""),"_男")," ",""),[1]データ貼り付けシート!$1:$2,2,FALSE)</f>
        <v>458</v>
      </c>
      <c r="C75" s="5">
        <f>HLOOKUP(SUBSTITUTE(CONCATENATE(SUBSTITUTE(SUBSTITUTE(A75,"歳","")," ",""),"_女")," ",""),[1]データ貼り付けシート!$1:$2,2,FALSE)</f>
        <v>530</v>
      </c>
      <c r="D75" s="5">
        <f>HLOOKUP(SUBSTITUTE(CONCATENATE(SUBSTITUTE(SUBSTITUTE(A75,"歳","")," ",""),"_全体")," ",""),[1]データ貼り付けシート!$1:$2,2,FALSE)</f>
        <v>988</v>
      </c>
      <c r="E75" s="3"/>
    </row>
    <row r="76" spans="1:5" ht="12.75" customHeight="1" x14ac:dyDescent="0.4">
      <c r="A76" s="4" t="s">
        <v>77</v>
      </c>
      <c r="B76" s="5">
        <f>HLOOKUP(SUBSTITUTE(CONCATENATE(SUBSTITUTE(SUBSTITUTE(A76,"歳","")," ",""),"_男")," ",""),[1]データ貼り付けシート!$1:$2,2,FALSE)</f>
        <v>375</v>
      </c>
      <c r="C76" s="5">
        <f>HLOOKUP(SUBSTITUTE(CONCATENATE(SUBSTITUTE(SUBSTITUTE(A76,"歳","")," ",""),"_女")," ",""),[1]データ貼り付けシート!$1:$2,2,FALSE)</f>
        <v>480</v>
      </c>
      <c r="D76" s="5">
        <f>HLOOKUP(SUBSTITUTE(CONCATENATE(SUBSTITUTE(SUBSTITUTE(A76,"歳","")," ",""),"_全体")," ",""),[1]データ貼り付けシート!$1:$2,2,FALSE)</f>
        <v>855</v>
      </c>
      <c r="E76" s="3"/>
    </row>
    <row r="77" spans="1:5" ht="12.75" customHeight="1" x14ac:dyDescent="0.4">
      <c r="A77" s="4" t="s">
        <v>78</v>
      </c>
      <c r="B77" s="5">
        <f>HLOOKUP(SUBSTITUTE(CONCATENATE(SUBSTITUTE(SUBSTITUTE(A77,"歳","")," ",""),"_男")," ",""),[1]データ貼り付けシート!$1:$2,2,FALSE)</f>
        <v>495</v>
      </c>
      <c r="C77" s="5">
        <f>HLOOKUP(SUBSTITUTE(CONCATENATE(SUBSTITUTE(SUBSTITUTE(A77,"歳","")," ",""),"_女")," ",""),[1]データ貼り付けシート!$1:$2,2,FALSE)</f>
        <v>584</v>
      </c>
      <c r="D77" s="5">
        <f>HLOOKUP(SUBSTITUTE(CONCATENATE(SUBSTITUTE(SUBSTITUTE(A77,"歳","")," ",""),"_全体")," ",""),[1]データ貼り付けシート!$1:$2,2,FALSE)</f>
        <v>1079</v>
      </c>
      <c r="E77" s="3"/>
    </row>
    <row r="78" spans="1:5" ht="12.75" customHeight="1" x14ac:dyDescent="0.4">
      <c r="A78" s="4" t="s">
        <v>79</v>
      </c>
      <c r="B78" s="5">
        <f>HLOOKUP(SUBSTITUTE(CONCATENATE(SUBSTITUTE(SUBSTITUTE(A78,"歳","")," ",""),"_男")," ",""),[1]データ貼り付けシート!$1:$2,2,FALSE)</f>
        <v>534</v>
      </c>
      <c r="C78" s="5">
        <f>HLOOKUP(SUBSTITUTE(CONCATENATE(SUBSTITUTE(SUBSTITUTE(A78,"歳","")," ",""),"_女")," ",""),[1]データ貼り付けシート!$1:$2,2,FALSE)</f>
        <v>635</v>
      </c>
      <c r="D78" s="5">
        <f>HLOOKUP(SUBSTITUTE(CONCATENATE(SUBSTITUTE(SUBSTITUTE(A78,"歳","")," ",""),"_全体")," ",""),[1]データ貼り付けシート!$1:$2,2,FALSE)</f>
        <v>1169</v>
      </c>
      <c r="E78" s="3"/>
    </row>
    <row r="79" spans="1:5" ht="12.75" customHeight="1" x14ac:dyDescent="0.4">
      <c r="A79" s="4" t="s">
        <v>80</v>
      </c>
      <c r="B79" s="5">
        <f>HLOOKUP(SUBSTITUTE(CONCATENATE(SUBSTITUTE(SUBSTITUTE(A79,"歳","")," ",""),"_男")," ",""),[1]データ貼り付けシート!$1:$2,2,FALSE)</f>
        <v>487</v>
      </c>
      <c r="C79" s="5">
        <f>HLOOKUP(SUBSTITUTE(CONCATENATE(SUBSTITUTE(SUBSTITUTE(A79,"歳","")," ",""),"_女")," ",""),[1]データ貼り付けシート!$1:$2,2,FALSE)</f>
        <v>624</v>
      </c>
      <c r="D79" s="5">
        <f>HLOOKUP(SUBSTITUTE(CONCATENATE(SUBSTITUTE(SUBSTITUTE(A79,"歳","")," ",""),"_全体")," ",""),[1]データ貼り付けシート!$1:$2,2,FALSE)</f>
        <v>1111</v>
      </c>
      <c r="E79" s="3"/>
    </row>
    <row r="80" spans="1:5" ht="12.75" customHeight="1" x14ac:dyDescent="0.4">
      <c r="A80" s="4" t="s">
        <v>81</v>
      </c>
      <c r="B80" s="5">
        <f>HLOOKUP(SUBSTITUTE(CONCATENATE(SUBSTITUTE(SUBSTITUTE(A80,"歳","")," ",""),"_男")," ",""),[1]データ貼り付けシート!$1:$2,2,FALSE)</f>
        <v>525</v>
      </c>
      <c r="C80" s="5">
        <f>HLOOKUP(SUBSTITUTE(CONCATENATE(SUBSTITUTE(SUBSTITUTE(A80,"歳","")," ",""),"_女")," ",""),[1]データ貼り付けシート!$1:$2,2,FALSE)</f>
        <v>611</v>
      </c>
      <c r="D80" s="5">
        <f>HLOOKUP(SUBSTITUTE(CONCATENATE(SUBSTITUTE(SUBSTITUTE(A80,"歳","")," ",""),"_全体")," ",""),[1]データ貼り付けシート!$1:$2,2,FALSE)</f>
        <v>1136</v>
      </c>
      <c r="E80" s="3"/>
    </row>
    <row r="81" spans="1:5" ht="12.75" customHeight="1" x14ac:dyDescent="0.4">
      <c r="A81" s="4" t="s">
        <v>82</v>
      </c>
      <c r="B81" s="5">
        <f>HLOOKUP(SUBSTITUTE(CONCATENATE(SUBSTITUTE(SUBSTITUTE(A81,"歳","")," ",""),"_男")," ",""),[1]データ貼り付けシート!$1:$2,2,FALSE)</f>
        <v>435</v>
      </c>
      <c r="C81" s="5">
        <f>HLOOKUP(SUBSTITUTE(CONCATENATE(SUBSTITUTE(SUBSTITUTE(A81,"歳","")," ",""),"_女")," ",""),[1]データ貼り付けシート!$1:$2,2,FALSE)</f>
        <v>551</v>
      </c>
      <c r="D81" s="5">
        <f>HLOOKUP(SUBSTITUTE(CONCATENATE(SUBSTITUTE(SUBSTITUTE(A81,"歳","")," ",""),"_全体")," ",""),[1]データ貼り付けシート!$1:$2,2,FALSE)</f>
        <v>986</v>
      </c>
      <c r="E81" s="3"/>
    </row>
    <row r="82" spans="1:5" ht="12.75" customHeight="1" x14ac:dyDescent="0.4">
      <c r="A82" s="4" t="s">
        <v>83</v>
      </c>
      <c r="B82" s="5">
        <f>HLOOKUP(SUBSTITUTE(CONCATENATE(SUBSTITUTE(SUBSTITUTE(A82,"歳","")," ",""),"_男")," ",""),[1]データ貼り付けシート!$1:$2,2,FALSE)</f>
        <v>367</v>
      </c>
      <c r="C82" s="5">
        <f>HLOOKUP(SUBSTITUTE(CONCATENATE(SUBSTITUTE(SUBSTITUTE(A82,"歳","")," ",""),"_女")," ",""),[1]データ貼り付けシート!$1:$2,2,FALSE)</f>
        <v>389</v>
      </c>
      <c r="D82" s="5">
        <f>HLOOKUP(SUBSTITUTE(CONCATENATE(SUBSTITUTE(SUBSTITUTE(A82,"歳","")," ",""),"_全体")," ",""),[1]データ貼り付けシート!$1:$2,2,FALSE)</f>
        <v>756</v>
      </c>
      <c r="E82" s="3"/>
    </row>
    <row r="83" spans="1:5" ht="12.75" customHeight="1" x14ac:dyDescent="0.4">
      <c r="A83" s="4" t="s">
        <v>84</v>
      </c>
      <c r="B83" s="5">
        <f>HLOOKUP(SUBSTITUTE(CONCATENATE(SUBSTITUTE(SUBSTITUTE(A83,"歳","")," ",""),"_男")," ",""),[1]データ貼り付けシート!$1:$2,2,FALSE)</f>
        <v>320</v>
      </c>
      <c r="C83" s="5">
        <f>HLOOKUP(SUBSTITUTE(CONCATENATE(SUBSTITUTE(SUBSTITUTE(A83,"歳","")," ",""),"_女")," ",""),[1]データ貼り付けシート!$1:$2,2,FALSE)</f>
        <v>374</v>
      </c>
      <c r="D83" s="5">
        <f>HLOOKUP(SUBSTITUTE(CONCATENATE(SUBSTITUTE(SUBSTITUTE(A83,"歳","")," ",""),"_全体")," ",""),[1]データ貼り付けシート!$1:$2,2,FALSE)</f>
        <v>694</v>
      </c>
      <c r="E83" s="3"/>
    </row>
    <row r="84" spans="1:5" ht="12.75" customHeight="1" x14ac:dyDescent="0.4">
      <c r="A84" s="4" t="s">
        <v>85</v>
      </c>
      <c r="B84" s="5">
        <f>HLOOKUP(SUBSTITUTE(CONCATENATE(SUBSTITUTE(SUBSTITUTE(A84,"歳","")," ",""),"_男")," ",""),[1]データ貼り付けシート!$1:$2,2,FALSE)</f>
        <v>335</v>
      </c>
      <c r="C84" s="5">
        <f>HLOOKUP(SUBSTITUTE(CONCATENATE(SUBSTITUTE(SUBSTITUTE(A84,"歳","")," ",""),"_女")," ",""),[1]データ貼り付けシート!$1:$2,2,FALSE)</f>
        <v>380</v>
      </c>
      <c r="D84" s="5">
        <f>HLOOKUP(SUBSTITUTE(CONCATENATE(SUBSTITUTE(SUBSTITUTE(A84,"歳","")," ",""),"_全体")," ",""),[1]データ貼り付けシート!$1:$2,2,FALSE)</f>
        <v>715</v>
      </c>
      <c r="E84" s="3"/>
    </row>
    <row r="85" spans="1:5" ht="12.75" customHeight="1" x14ac:dyDescent="0.4">
      <c r="A85" s="4" t="s">
        <v>86</v>
      </c>
      <c r="B85" s="5">
        <f>HLOOKUP(SUBSTITUTE(CONCATENATE(SUBSTITUTE(SUBSTITUTE(A85,"歳","")," ",""),"_男")," ",""),[1]データ貼り付けシート!$1:$2,2,FALSE)</f>
        <v>279</v>
      </c>
      <c r="C85" s="5">
        <f>HLOOKUP(SUBSTITUTE(CONCATENATE(SUBSTITUTE(SUBSTITUTE(A85,"歳","")," ",""),"_女")," ",""),[1]データ貼り付けシート!$1:$2,2,FALSE)</f>
        <v>335</v>
      </c>
      <c r="D85" s="5">
        <f>HLOOKUP(SUBSTITUTE(CONCATENATE(SUBSTITUTE(SUBSTITUTE(A85,"歳","")," ",""),"_全体")," ",""),[1]データ貼り付けシート!$1:$2,2,FALSE)</f>
        <v>614</v>
      </c>
      <c r="E85" s="3"/>
    </row>
    <row r="86" spans="1:5" ht="12.75" customHeight="1" x14ac:dyDescent="0.4">
      <c r="A86" s="4" t="s">
        <v>87</v>
      </c>
      <c r="B86" s="5">
        <f>HLOOKUP(SUBSTITUTE(CONCATENATE(SUBSTITUTE(SUBSTITUTE(A86,"歳","")," ",""),"_男")," ",""),[1]データ貼り付けシート!$1:$2,2,FALSE)</f>
        <v>255</v>
      </c>
      <c r="C86" s="5">
        <f>HLOOKUP(SUBSTITUTE(CONCATENATE(SUBSTITUTE(SUBSTITUTE(A86,"歳","")," ",""),"_女")," ",""),[1]データ貼り付けシート!$1:$2,2,FALSE)</f>
        <v>318</v>
      </c>
      <c r="D86" s="5">
        <f>HLOOKUP(SUBSTITUTE(CONCATENATE(SUBSTITUTE(SUBSTITUTE(A86,"歳","")," ",""),"_全体")," ",""),[1]データ貼り付けシート!$1:$2,2,FALSE)</f>
        <v>573</v>
      </c>
      <c r="E86" s="3"/>
    </row>
    <row r="87" spans="1:5" ht="12.75" customHeight="1" x14ac:dyDescent="0.4">
      <c r="A87" s="4" t="s">
        <v>88</v>
      </c>
      <c r="B87" s="5">
        <f>HLOOKUP(SUBSTITUTE(CONCATENATE(SUBSTITUTE(SUBSTITUTE(A87,"歳","")," ",""),"_男")," ",""),[1]データ貼り付けシート!$1:$2,2,FALSE)</f>
        <v>177</v>
      </c>
      <c r="C87" s="5">
        <f>HLOOKUP(SUBSTITUTE(CONCATENATE(SUBSTITUTE(SUBSTITUTE(A87,"歳","")," ",""),"_女")," ",""),[1]データ貼り付けシート!$1:$2,2,FALSE)</f>
        <v>273</v>
      </c>
      <c r="D87" s="5">
        <f>HLOOKUP(SUBSTITUTE(CONCATENATE(SUBSTITUTE(SUBSTITUTE(A87,"歳","")," ",""),"_全体")," ",""),[1]データ貼り付けシート!$1:$2,2,FALSE)</f>
        <v>450</v>
      </c>
      <c r="E87" s="3"/>
    </row>
    <row r="88" spans="1:5" ht="12.75" customHeight="1" x14ac:dyDescent="0.4">
      <c r="A88" s="4" t="s">
        <v>89</v>
      </c>
      <c r="B88" s="5">
        <f>HLOOKUP(SUBSTITUTE(CONCATENATE(SUBSTITUTE(SUBSTITUTE(A88,"歳","")," ",""),"_男")," ",""),[1]データ貼り付けシート!$1:$2,2,FALSE)</f>
        <v>139</v>
      </c>
      <c r="C88" s="5">
        <f>HLOOKUP(SUBSTITUTE(CONCATENATE(SUBSTITUTE(SUBSTITUTE(A88,"歳","")," ",""),"_女")," ",""),[1]データ貼り付けシート!$1:$2,2,FALSE)</f>
        <v>276</v>
      </c>
      <c r="D88" s="5">
        <f>HLOOKUP(SUBSTITUTE(CONCATENATE(SUBSTITUTE(SUBSTITUTE(A88,"歳","")," ",""),"_全体")," ",""),[1]データ貼り付けシート!$1:$2,2,FALSE)</f>
        <v>415</v>
      </c>
      <c r="E88" s="3"/>
    </row>
    <row r="89" spans="1:5" ht="12.75" customHeight="1" x14ac:dyDescent="0.4">
      <c r="A89" s="4" t="s">
        <v>90</v>
      </c>
      <c r="B89" s="5">
        <f>HLOOKUP(SUBSTITUTE(CONCATENATE(SUBSTITUTE(SUBSTITUTE(A89,"歳","")," ",""),"_男")," ",""),[1]データ貼り付けシート!$1:$2,2,FALSE)</f>
        <v>152</v>
      </c>
      <c r="C89" s="5">
        <f>HLOOKUP(SUBSTITUTE(CONCATENATE(SUBSTITUTE(SUBSTITUTE(A89,"歳","")," ",""),"_女")," ",""),[1]データ貼り付けシート!$1:$2,2,FALSE)</f>
        <v>220</v>
      </c>
      <c r="D89" s="5">
        <f>HLOOKUP(SUBSTITUTE(CONCATENATE(SUBSTITUTE(SUBSTITUTE(A89,"歳","")," ",""),"_全体")," ",""),[1]データ貼り付けシート!$1:$2,2,FALSE)</f>
        <v>372</v>
      </c>
      <c r="E89" s="3"/>
    </row>
    <row r="90" spans="1:5" ht="12.75" customHeight="1" x14ac:dyDescent="0.4">
      <c r="A90" s="4" t="s">
        <v>91</v>
      </c>
      <c r="B90" s="5">
        <f>HLOOKUP(SUBSTITUTE(CONCATENATE(SUBSTITUTE(SUBSTITUTE(A90,"歳","")," ",""),"_男")," ",""),[1]データ貼り付けシート!$1:$2,2,FALSE)</f>
        <v>109</v>
      </c>
      <c r="C90" s="5">
        <f>HLOOKUP(SUBSTITUTE(CONCATENATE(SUBSTITUTE(SUBSTITUTE(A90,"歳","")," ",""),"_女")," ",""),[1]データ貼り付けシート!$1:$2,2,FALSE)</f>
        <v>182</v>
      </c>
      <c r="D90" s="5">
        <f>HLOOKUP(SUBSTITUTE(CONCATENATE(SUBSTITUTE(SUBSTITUTE(A90,"歳","")," ",""),"_全体")," ",""),[1]データ貼り付けシート!$1:$2,2,FALSE)</f>
        <v>291</v>
      </c>
      <c r="E90" s="3"/>
    </row>
    <row r="91" spans="1:5" ht="12.75" customHeight="1" x14ac:dyDescent="0.4">
      <c r="A91" s="4" t="s">
        <v>92</v>
      </c>
      <c r="B91" s="5">
        <f>HLOOKUP(SUBSTITUTE(CONCATENATE(SUBSTITUTE(SUBSTITUTE(A91,"歳","")," ",""),"_男")," ",""),[1]データ貼り付けシート!$1:$2,2,FALSE)</f>
        <v>86</v>
      </c>
      <c r="C91" s="5">
        <f>HLOOKUP(SUBSTITUTE(CONCATENATE(SUBSTITUTE(SUBSTITUTE(A91,"歳","")," ",""),"_女")," ",""),[1]データ貼り付けシート!$1:$2,2,FALSE)</f>
        <v>149</v>
      </c>
      <c r="D91" s="5">
        <f>HLOOKUP(SUBSTITUTE(CONCATENATE(SUBSTITUTE(SUBSTITUTE(A91,"歳","")," ",""),"_全体")," ",""),[1]データ貼り付けシート!$1:$2,2,FALSE)</f>
        <v>235</v>
      </c>
      <c r="E91" s="3"/>
    </row>
    <row r="92" spans="1:5" ht="12.75" customHeight="1" x14ac:dyDescent="0.4">
      <c r="A92" s="4" t="s">
        <v>93</v>
      </c>
      <c r="B92" s="5">
        <f>HLOOKUP(SUBSTITUTE(CONCATENATE(SUBSTITUTE(SUBSTITUTE(A92,"歳","")," ",""),"_男")," ",""),[1]データ貼り付けシート!$1:$2,2,FALSE)</f>
        <v>57</v>
      </c>
      <c r="C92" s="5">
        <f>HLOOKUP(SUBSTITUTE(CONCATENATE(SUBSTITUTE(SUBSTITUTE(A92,"歳","")," ",""),"_女")," ",""),[1]データ貼り付けシート!$1:$2,2,FALSE)</f>
        <v>168</v>
      </c>
      <c r="D92" s="5">
        <f>HLOOKUP(SUBSTITUTE(CONCATENATE(SUBSTITUTE(SUBSTITUTE(A92,"歳","")," ",""),"_全体")," ",""),[1]データ貼り付けシート!$1:$2,2,FALSE)</f>
        <v>225</v>
      </c>
      <c r="E92" s="3"/>
    </row>
    <row r="93" spans="1:5" ht="12.75" customHeight="1" x14ac:dyDescent="0.4">
      <c r="A93" s="4" t="s">
        <v>94</v>
      </c>
      <c r="B93" s="5">
        <f>HLOOKUP(SUBSTITUTE(CONCATENATE(SUBSTITUTE(SUBSTITUTE(A93,"歳","")," ",""),"_男")," ",""),[1]データ貼り付けシート!$1:$2,2,FALSE)</f>
        <v>51</v>
      </c>
      <c r="C93" s="5">
        <f>HLOOKUP(SUBSTITUTE(CONCATENATE(SUBSTITUTE(SUBSTITUTE(A93,"歳","")," ",""),"_女")," ",""),[1]データ貼り付けシート!$1:$2,2,FALSE)</f>
        <v>139</v>
      </c>
      <c r="D93" s="5">
        <f>HLOOKUP(SUBSTITUTE(CONCATENATE(SUBSTITUTE(SUBSTITUTE(A93,"歳","")," ",""),"_全体")," ",""),[1]データ貼り付けシート!$1:$2,2,FALSE)</f>
        <v>190</v>
      </c>
      <c r="E93" s="3"/>
    </row>
    <row r="94" spans="1:5" ht="12.75" customHeight="1" x14ac:dyDescent="0.4">
      <c r="A94" s="4" t="s">
        <v>95</v>
      </c>
      <c r="B94" s="5">
        <f>HLOOKUP(SUBSTITUTE(CONCATENATE(SUBSTITUTE(SUBSTITUTE(A94,"歳","")," ",""),"_男")," ",""),[1]データ貼り付けシート!$1:$2,2,FALSE)</f>
        <v>36</v>
      </c>
      <c r="C94" s="5">
        <f>HLOOKUP(SUBSTITUTE(CONCATENATE(SUBSTITUTE(SUBSTITUTE(A94,"歳","")," ",""),"_女")," ",""),[1]データ貼り付けシート!$1:$2,2,FALSE)</f>
        <v>104</v>
      </c>
      <c r="D94" s="5">
        <f>HLOOKUP(SUBSTITUTE(CONCATENATE(SUBSTITUTE(SUBSTITUTE(A94,"歳","")," ",""),"_全体")," ",""),[1]データ貼り付けシート!$1:$2,2,FALSE)</f>
        <v>140</v>
      </c>
      <c r="E94" s="3"/>
    </row>
    <row r="95" spans="1:5" ht="12.75" customHeight="1" x14ac:dyDescent="0.4">
      <c r="A95" s="4" t="s">
        <v>96</v>
      </c>
      <c r="B95" s="5">
        <f>HLOOKUP(SUBSTITUTE(CONCATENATE(SUBSTITUTE(SUBSTITUTE(A95,"歳","")," ",""),"_男")," ",""),[1]データ貼り付けシート!$1:$2,2,FALSE)</f>
        <v>31</v>
      </c>
      <c r="C95" s="5">
        <f>HLOOKUP(SUBSTITUTE(CONCATENATE(SUBSTITUTE(SUBSTITUTE(A95,"歳","")," ",""),"_女")," ",""),[1]データ貼り付けシート!$1:$2,2,FALSE)</f>
        <v>90</v>
      </c>
      <c r="D95" s="5">
        <f>HLOOKUP(SUBSTITUTE(CONCATENATE(SUBSTITUTE(SUBSTITUTE(A95,"歳","")," ",""),"_全体")," ",""),[1]データ貼り付けシート!$1:$2,2,FALSE)</f>
        <v>121</v>
      </c>
      <c r="E95" s="3"/>
    </row>
    <row r="96" spans="1:5" ht="12.75" customHeight="1" x14ac:dyDescent="0.4">
      <c r="A96" s="4" t="s">
        <v>97</v>
      </c>
      <c r="B96" s="5">
        <f>HLOOKUP(SUBSTITUTE(CONCATENATE(SUBSTITUTE(SUBSTITUTE(A96,"歳","")," ",""),"_男")," ",""),[1]データ貼り付けシート!$1:$2,2,FALSE)</f>
        <v>29</v>
      </c>
      <c r="C96" s="5">
        <f>HLOOKUP(SUBSTITUTE(CONCATENATE(SUBSTITUTE(SUBSTITUTE(A96,"歳","")," ",""),"_女")," ",""),[1]データ貼り付けシート!$1:$2,2,FALSE)</f>
        <v>69</v>
      </c>
      <c r="D96" s="5">
        <f>HLOOKUP(SUBSTITUTE(CONCATENATE(SUBSTITUTE(SUBSTITUTE(A96,"歳","")," ",""),"_全体")," ",""),[1]データ貼り付けシート!$1:$2,2,FALSE)</f>
        <v>98</v>
      </c>
      <c r="E96" s="3"/>
    </row>
    <row r="97" spans="1:5" ht="12.75" customHeight="1" x14ac:dyDescent="0.4">
      <c r="A97" s="4" t="s">
        <v>98</v>
      </c>
      <c r="B97" s="5">
        <f>HLOOKUP(SUBSTITUTE(CONCATENATE(SUBSTITUTE(SUBSTITUTE(A97,"歳","")," ",""),"_男")," ",""),[1]データ貼り付けシート!$1:$2,2,FALSE)</f>
        <v>14</v>
      </c>
      <c r="C97" s="5">
        <f>HLOOKUP(SUBSTITUTE(CONCATENATE(SUBSTITUTE(SUBSTITUTE(A97,"歳","")," ",""),"_女")," ",""),[1]データ貼り付けシート!$1:$2,2,FALSE)</f>
        <v>73</v>
      </c>
      <c r="D97" s="5">
        <f>HLOOKUP(SUBSTITUTE(CONCATENATE(SUBSTITUTE(SUBSTITUTE(A97,"歳","")," ",""),"_全体")," ",""),[1]データ貼り付けシート!$1:$2,2,FALSE)</f>
        <v>87</v>
      </c>
      <c r="E97" s="3"/>
    </row>
    <row r="98" spans="1:5" ht="12.75" customHeight="1" x14ac:dyDescent="0.4">
      <c r="A98" s="4" t="s">
        <v>99</v>
      </c>
      <c r="B98" s="5">
        <f>HLOOKUP(SUBSTITUTE(CONCATENATE(SUBSTITUTE(SUBSTITUTE(A98,"歳","")," ",""),"_男")," ",""),[1]データ貼り付けシート!$1:$2,2,FALSE)</f>
        <v>9</v>
      </c>
      <c r="C98" s="5">
        <f>HLOOKUP(SUBSTITUTE(CONCATENATE(SUBSTITUTE(SUBSTITUTE(A98,"歳","")," ",""),"_女")," ",""),[1]データ貼り付けシート!$1:$2,2,FALSE)</f>
        <v>49</v>
      </c>
      <c r="D98" s="5">
        <f>HLOOKUP(SUBSTITUTE(CONCATENATE(SUBSTITUTE(SUBSTITUTE(A98,"歳","")," ",""),"_全体")," ",""),[1]データ貼り付けシート!$1:$2,2,FALSE)</f>
        <v>58</v>
      </c>
      <c r="E98" s="3"/>
    </row>
    <row r="99" spans="1:5" ht="12.75" customHeight="1" x14ac:dyDescent="0.4">
      <c r="A99" s="4" t="s">
        <v>100</v>
      </c>
      <c r="B99" s="5">
        <f>HLOOKUP(SUBSTITUTE(CONCATENATE(SUBSTITUTE(SUBSTITUTE(A99,"歳","")," ",""),"_男")," ",""),[1]データ貼り付けシート!$1:$2,2,FALSE)</f>
        <v>7</v>
      </c>
      <c r="C99" s="5">
        <f>HLOOKUP(SUBSTITUTE(CONCATENATE(SUBSTITUTE(SUBSTITUTE(A99,"歳","")," ",""),"_女")," ",""),[1]データ貼り付けシート!$1:$2,2,FALSE)</f>
        <v>32</v>
      </c>
      <c r="D99" s="5">
        <f>HLOOKUP(SUBSTITUTE(CONCATENATE(SUBSTITUTE(SUBSTITUTE(A99,"歳","")," ",""),"_全体")," ",""),[1]データ貼り付けシート!$1:$2,2,FALSE)</f>
        <v>39</v>
      </c>
      <c r="E99" s="3"/>
    </row>
    <row r="100" spans="1:5" ht="12.75" customHeight="1" x14ac:dyDescent="0.4">
      <c r="A100" s="4" t="s">
        <v>101</v>
      </c>
      <c r="B100" s="5">
        <f>HLOOKUP(SUBSTITUTE(CONCATENATE(SUBSTITUTE(SUBSTITUTE(A100,"歳","")," ",""),"_男")," ",""),[1]データ貼り付けシート!$1:$2,2,FALSE)</f>
        <v>5</v>
      </c>
      <c r="C100" s="5">
        <f>HLOOKUP(SUBSTITUTE(CONCATENATE(SUBSTITUTE(SUBSTITUTE(A100,"歳","")," ",""),"_女")," ",""),[1]データ貼り付けシート!$1:$2,2,FALSE)</f>
        <v>22</v>
      </c>
      <c r="D100" s="5">
        <f>HLOOKUP(SUBSTITUTE(CONCATENATE(SUBSTITUTE(SUBSTITUTE(A100,"歳","")," ",""),"_全体")," ",""),[1]データ貼り付けシート!$1:$2,2,FALSE)</f>
        <v>27</v>
      </c>
      <c r="E100" s="3"/>
    </row>
    <row r="101" spans="1:5" ht="12.75" customHeight="1" x14ac:dyDescent="0.4">
      <c r="A101" s="4" t="s">
        <v>102</v>
      </c>
      <c r="B101" s="5">
        <f>HLOOKUP(SUBSTITUTE(CONCATENATE(SUBSTITUTE(SUBSTITUTE(A101,"歳","")," ",""),"_男")," ",""),[1]データ貼り付けシート!$1:$2,2,FALSE)</f>
        <v>4</v>
      </c>
      <c r="C101" s="5">
        <f>HLOOKUP(SUBSTITUTE(CONCATENATE(SUBSTITUTE(SUBSTITUTE(A101,"歳","")," ",""),"_女")," ",""),[1]データ貼り付けシート!$1:$2,2,FALSE)</f>
        <v>29</v>
      </c>
      <c r="D101" s="5">
        <f>HLOOKUP(SUBSTITUTE(CONCATENATE(SUBSTITUTE(SUBSTITUTE(A101,"歳","")," ",""),"_全体")," ",""),[1]データ貼り付けシート!$1:$2,2,FALSE)</f>
        <v>33</v>
      </c>
      <c r="E101" s="3"/>
    </row>
    <row r="102" spans="1:5" ht="12.75" customHeight="1" x14ac:dyDescent="0.4">
      <c r="A102" s="4" t="s">
        <v>103</v>
      </c>
      <c r="B102" s="5">
        <f>HLOOKUP(SUBSTITUTE(CONCATENATE(SUBSTITUTE(SUBSTITUTE(A102,"歳","")," ",""),"_男")," ",""),[1]データ貼り付けシート!$1:$2,2,FALSE)</f>
        <v>0</v>
      </c>
      <c r="C102" s="5">
        <f>HLOOKUP(SUBSTITUTE(CONCATENATE(SUBSTITUTE(SUBSTITUTE(A102,"歳","")," ",""),"_女")," ",""),[1]データ貼り付けシート!$1:$2,2,FALSE)</f>
        <v>15</v>
      </c>
      <c r="D102" s="5">
        <f>HLOOKUP(SUBSTITUTE(CONCATENATE(SUBSTITUTE(SUBSTITUTE(A102,"歳","")," ",""),"_全体")," ",""),[1]データ貼り付けシート!$1:$2,2,FALSE)</f>
        <v>15</v>
      </c>
      <c r="E102" s="3"/>
    </row>
    <row r="103" spans="1:5" ht="12.75" customHeight="1" x14ac:dyDescent="0.4">
      <c r="A103" s="4" t="s">
        <v>104</v>
      </c>
      <c r="B103" s="5">
        <f>HLOOKUP(SUBSTITUTE(CONCATENATE(SUBSTITUTE(SUBSTITUTE(A103,"歳","")," ",""),"_男")," ",""),[1]データ貼り付けシート!$1:$2,2,FALSE)</f>
        <v>1</v>
      </c>
      <c r="C103" s="5">
        <f>HLOOKUP(SUBSTITUTE(CONCATENATE(SUBSTITUTE(SUBSTITUTE(A103,"歳","")," ",""),"_女")," ",""),[1]データ貼り付けシート!$1:$2,2,FALSE)</f>
        <v>5</v>
      </c>
      <c r="D103" s="5">
        <f>HLOOKUP(SUBSTITUTE(CONCATENATE(SUBSTITUTE(SUBSTITUTE(A103,"歳","")," ",""),"_全体")," ",""),[1]データ貼り付けシート!$1:$2,2,FALSE)</f>
        <v>6</v>
      </c>
      <c r="E103" s="3"/>
    </row>
    <row r="104" spans="1:5" ht="12.75" customHeight="1" x14ac:dyDescent="0.4">
      <c r="A104" s="4" t="s">
        <v>105</v>
      </c>
      <c r="B104" s="5">
        <f>HLOOKUP(SUBSTITUTE(CONCATENATE(SUBSTITUTE(SUBSTITUTE(A104,"歳","")," ",""),"_男")," ",""),[1]データ貼り付けシート!$1:$2,2,FALSE)</f>
        <v>0</v>
      </c>
      <c r="C104" s="5">
        <f>HLOOKUP(SUBSTITUTE(CONCATENATE(SUBSTITUTE(SUBSTITUTE(A104,"歳","")," ",""),"_女")," ",""),[1]データ貼り付けシート!$1:$2,2,FALSE)</f>
        <v>5</v>
      </c>
      <c r="D104" s="5">
        <f>HLOOKUP(SUBSTITUTE(CONCATENATE(SUBSTITUTE(SUBSTITUTE(A104,"歳","")," ",""),"_全体")," ",""),[1]データ貼り付けシート!$1:$2,2,FALSE)</f>
        <v>5</v>
      </c>
      <c r="E104" s="3"/>
    </row>
    <row r="105" spans="1:5" ht="12.75" customHeight="1" x14ac:dyDescent="0.4">
      <c r="A105" s="4" t="s">
        <v>106</v>
      </c>
      <c r="B105" s="5">
        <f>HLOOKUP(SUBSTITUTE(CONCATENATE(SUBSTITUTE(SUBSTITUTE(A105,"歳","")," ",""),"_男")," ",""),[1]データ貼り付けシート!$1:$2,2,FALSE)</f>
        <v>1</v>
      </c>
      <c r="C105" s="5">
        <f>HLOOKUP(SUBSTITUTE(CONCATENATE(SUBSTITUTE(SUBSTITUTE(A105,"歳","")," ",""),"_女")," ",""),[1]データ貼り付けシート!$1:$2,2,FALSE)</f>
        <v>3</v>
      </c>
      <c r="D105" s="5">
        <f>HLOOKUP(SUBSTITUTE(CONCATENATE(SUBSTITUTE(SUBSTITUTE(A105,"歳","")," ",""),"_全体")," ",""),[1]データ貼り付けシート!$1:$2,2,FALSE)</f>
        <v>4</v>
      </c>
      <c r="E105" s="3"/>
    </row>
    <row r="106" spans="1:5" ht="12.75" customHeight="1" x14ac:dyDescent="0.4">
      <c r="A106" s="4" t="s">
        <v>107</v>
      </c>
      <c r="B106" s="5">
        <f>HLOOKUP(SUBSTITUTE(CONCATENATE(SUBSTITUTE(SUBSTITUTE(A106,"歳","")," ",""),"_男")," ",""),[1]データ貼り付けシート!$1:$2,2,FALSE)</f>
        <v>1</v>
      </c>
      <c r="C106" s="5">
        <f>HLOOKUP(SUBSTITUTE(CONCATENATE(SUBSTITUTE(SUBSTITUTE(A106,"歳","")," ",""),"_女")," ",""),[1]データ貼り付けシート!$1:$2,2,FALSE)</f>
        <v>4</v>
      </c>
      <c r="D106" s="5">
        <f>HLOOKUP(SUBSTITUTE(CONCATENATE(SUBSTITUTE(SUBSTITUTE(A106,"歳","")," ",""),"_全体")," ",""),[1]データ貼り付けシート!$1:$2,2,FALSE)</f>
        <v>5</v>
      </c>
      <c r="E106" s="3"/>
    </row>
    <row r="107" spans="1:5" ht="12.75" customHeight="1" x14ac:dyDescent="0.4">
      <c r="A107" s="4" t="s">
        <v>108</v>
      </c>
      <c r="B107" s="5">
        <f>HLOOKUP(SUBSTITUTE(CONCATENATE(SUBSTITUTE(SUBSTITUTE(A107,"歳","")," ",""),"_男")," ",""),[1]データ貼り付けシート!$1:$2,2,FALSE)</f>
        <v>0</v>
      </c>
      <c r="C107" s="5">
        <f>HLOOKUP(SUBSTITUTE(CONCATENATE(SUBSTITUTE(SUBSTITUTE(A107,"歳","")," ",""),"_女")," ",""),[1]データ貼り付けシート!$1:$2,2,FALSE)</f>
        <v>1</v>
      </c>
      <c r="D107" s="5">
        <f>HLOOKUP(SUBSTITUTE(CONCATENATE(SUBSTITUTE(SUBSTITUTE(A107,"歳","")," ",""),"_全体")," ",""),[1]データ貼り付けシート!$1:$2,2,FALSE)</f>
        <v>1</v>
      </c>
      <c r="E107" s="3"/>
    </row>
    <row r="108" spans="1:5" ht="12.75" customHeight="1" x14ac:dyDescent="0.4">
      <c r="A108" s="4" t="s">
        <v>109</v>
      </c>
      <c r="B108" s="5">
        <f>IF(ISERROR(HLOOKUP("105以上_男",[1]データ貼り付けシート!$1:$2,2,FALSE)),0,HLOOKUP("105以上_男",[1]データ貼り付けシート!$1:$2,2,FALSE))+IF(ISERROR(HLOOKUP("105_男",[1]データ貼り付けシート!$1:$2,2,FALSE)),0,HLOOKUP("105_男",[1]データ貼り付けシート!$1:$2,2,FALSE))</f>
        <v>0</v>
      </c>
      <c r="C108" s="5">
        <f>IF(ISERROR(HLOOKUP("105以上_女",[1]データ貼り付けシート!$1:$2,2,FALSE)),0,HLOOKUP("105以上_女",[1]データ貼り付けシート!$1:$2,2,FALSE))+IF(ISERROR(HLOOKUP("105_女",[1]データ貼り付けシート!$1:$2,2,FALSE)),0,HLOOKUP("105_女",[1]データ貼り付けシート!$1:$2,2,FALSE))</f>
        <v>1</v>
      </c>
      <c r="D108" s="5">
        <f>B108+C108</f>
        <v>1</v>
      </c>
      <c r="E108" s="3"/>
    </row>
    <row r="109" spans="1:5" ht="12.75" customHeight="1" x14ac:dyDescent="0.4">
      <c r="A109" s="4" t="s">
        <v>110</v>
      </c>
      <c r="B109" s="5">
        <f>IF(ISERROR(HLOOKUP("106以上_男",[1]データ貼り付けシート!$1:$2,2,FALSE)),0,HLOOKUP("106以上_男",[1]データ貼り付けシート!$1:$2,2,FALSE))+IF(ISERROR(HLOOKUP("106_男",[1]データ貼り付けシート!$1:$2,2,FALSE)),0,HLOOKUP("106_男",[1]データ貼り付けシート!$1:$2,2,FALSE))</f>
        <v>0</v>
      </c>
      <c r="C109" s="5">
        <f>IF(ISERROR(HLOOKUP("106以上_女",[1]データ貼り付けシート!$1:$2,2,FALSE)),0,HLOOKUP("106以上_女",[1]データ貼り付けシート!$1:$2,2,FALSE))+IF(ISERROR(HLOOKUP("106_女",[1]データ貼り付けシート!$1:$2,2,FALSE)),0,HLOOKUP("106_女",[1]データ貼り付けシート!$1:$2,2,FALSE))</f>
        <v>1</v>
      </c>
      <c r="D109" s="5">
        <f>B109+C109</f>
        <v>1</v>
      </c>
      <c r="E109" s="3"/>
    </row>
    <row r="110" spans="1:5" ht="12.75" customHeight="1" x14ac:dyDescent="0.4">
      <c r="A110" s="4" t="s">
        <v>111</v>
      </c>
      <c r="B110" s="5">
        <f>IF(ISERROR(HLOOKUP("107以上_男",[1]データ貼り付けシート!$1:$2,2,FALSE)),0,HLOOKUP("107以上_男",[1]データ貼り付けシート!$1:$2,2,FALSE))+IF(ISERROR(HLOOKUP("107_男",[1]データ貼り付けシート!$1:$2,2,FALSE)),0,HLOOKUP("107_男",[1]データ貼り付けシート!$1:$2,2,FALSE))</f>
        <v>0</v>
      </c>
      <c r="C110" s="5">
        <f>IF(ISERROR(HLOOKUP("107以上_女",[1]データ貼り付けシート!$1:$2,2,FALSE)),0,HLOOKUP("107以上_女",[1]データ貼り付けシート!$1:$2,2,FALSE))+IF(ISERROR(HLOOKUP("107_女",[1]データ貼り付けシート!$1:$2,2,FALSE)),0,HLOOKUP("107_女",[1]データ貼り付けシート!$1:$2,2,FALSE))</f>
        <v>0</v>
      </c>
      <c r="D110" s="5">
        <f>B110+C110</f>
        <v>0</v>
      </c>
      <c r="E110" s="3"/>
    </row>
    <row r="111" spans="1:5" ht="12.75" customHeight="1" x14ac:dyDescent="0.4">
      <c r="A111" s="4" t="s">
        <v>112</v>
      </c>
      <c r="B111" s="5">
        <f>IF(ISERROR(HLOOKUP("108以上_男",[1]データ貼り付けシート!$1:$2,2,FALSE)),0,HLOOKUP("108以上_男",[1]データ貼り付けシート!$1:$2,2,FALSE))+IF(ISERROR(HLOOKUP("108_男",[1]データ貼り付けシート!$1:$2,2,FALSE)),0,HLOOKUP("108_男",[1]データ貼り付けシート!$1:$2,2,FALSE))</f>
        <v>0</v>
      </c>
      <c r="C111" s="5">
        <f>IF(ISERROR(HLOOKUP("108以上_女",[1]データ貼り付けシート!$1:$2,2,FALSE)),0,HLOOKUP("108以上_女",[1]データ貼り付けシート!$1:$2,2,FALSE))+IF(ISERROR(HLOOKUP("108_女",[1]データ貼り付けシート!$1:$2,2,FALSE)),0,HLOOKUP("108_女",[1]データ貼り付けシート!$1:$2,2,FALSE))</f>
        <v>0</v>
      </c>
      <c r="D111" s="5">
        <f t="shared" ref="D111:D113" si="0">B111+C111</f>
        <v>0</v>
      </c>
      <c r="E111" s="3"/>
    </row>
    <row r="112" spans="1:5" ht="12.75" customHeight="1" x14ac:dyDescent="0.4">
      <c r="A112" s="4" t="s">
        <v>113</v>
      </c>
      <c r="B112" s="5">
        <f>IF(ISERROR(HLOOKUP("109以上_男",[1]データ貼り付けシート!$1:$2,2,FALSE)),0,HLOOKUP("109以上_男",[1]データ貼り付けシート!$1:$2,2,FALSE))+IF(ISERROR(HLOOKUP("109_男",[1]データ貼り付けシート!$1:$2,2,FALSE)),0,HLOOKUP("109_男",[1]データ貼り付けシート!$1:$2,2,FALSE))</f>
        <v>0</v>
      </c>
      <c r="C112" s="5">
        <f>IF(ISERROR(HLOOKUP("109以上_女",[1]データ貼り付けシート!$1:$2,2,FALSE)),0,HLOOKUP("109以上_女",[1]データ貼り付けシート!$1:$2,2,FALSE))+IF(ISERROR(HLOOKUP("109_女",[1]データ貼り付けシート!$1:$2,2,FALSE)),0,HLOOKUP("109_女",[1]データ貼り付けシート!$1:$2,2,FALSE))</f>
        <v>0</v>
      </c>
      <c r="D112" s="5">
        <f t="shared" si="0"/>
        <v>0</v>
      </c>
      <c r="E112" s="3"/>
    </row>
    <row r="113" spans="1:5" ht="12.75" customHeight="1" x14ac:dyDescent="0.4">
      <c r="A113" s="4" t="s">
        <v>114</v>
      </c>
      <c r="B113" s="5">
        <f>IF(ISERROR(HLOOKUP("110以上_男",[1]データ貼り付けシート!$1:$2,2,FALSE)),0,HLOOKUP("110以上_男",[1]データ貼り付けシート!$1:$2,2,FALSE))+IF(ISERROR(HLOOKUP("110_男",[1]データ貼り付けシート!$1:$2,2,FALSE)),0,HLOOKUP("110_男",[1]データ貼り付けシート!$1:$2,2,FALSE))</f>
        <v>0</v>
      </c>
      <c r="C113" s="5">
        <f>IF(ISERROR(HLOOKUP("110以上_女",[1]データ貼り付けシート!$1:$2,2,FALSE)),0,HLOOKUP("107以上_女",[1]データ貼り付けシート!$1:$2,2,FALSE))+IF(ISERROR(HLOOKUP("110_女",[1]データ貼り付けシート!$1:$2,2,FALSE)),0,HLOOKUP("110_女",[1]データ貼り付けシート!$1:$2,2,FALSE))</f>
        <v>0</v>
      </c>
      <c r="D113" s="5">
        <f t="shared" si="0"/>
        <v>0</v>
      </c>
      <c r="E113" s="3"/>
    </row>
    <row r="114" spans="1:5" ht="12.75" customHeight="1" x14ac:dyDescent="0.4">
      <c r="A114" s="3"/>
      <c r="B114" s="6"/>
      <c r="C114" s="6"/>
      <c r="D114" s="6"/>
      <c r="E114" s="3"/>
    </row>
    <row r="115" spans="1:5" ht="12.75" customHeight="1" x14ac:dyDescent="0.4">
      <c r="A115" s="7" t="s">
        <v>0</v>
      </c>
      <c r="B115" s="7" t="s">
        <v>1</v>
      </c>
      <c r="C115" s="8" t="s">
        <v>2</v>
      </c>
      <c r="D115" s="2" t="s">
        <v>3</v>
      </c>
      <c r="E115" s="3"/>
    </row>
    <row r="116" spans="1:5" ht="12.75" customHeight="1" x14ac:dyDescent="0.4">
      <c r="A116" s="7" t="s">
        <v>115</v>
      </c>
      <c r="B116" s="9">
        <f>SUM(B3:B8)</f>
        <v>2367</v>
      </c>
      <c r="C116" s="10">
        <f>SUM(C3:C8)</f>
        <v>2213</v>
      </c>
      <c r="D116" s="5">
        <f>B116+C116</f>
        <v>4580</v>
      </c>
      <c r="E116" s="3"/>
    </row>
    <row r="117" spans="1:5" ht="12.75" customHeight="1" x14ac:dyDescent="0.4">
      <c r="A117" s="7" t="s">
        <v>116</v>
      </c>
      <c r="B117" s="9">
        <f>SUM(B9:B14)</f>
        <v>2195</v>
      </c>
      <c r="C117" s="9">
        <f>SUM(C9:C14)</f>
        <v>2188</v>
      </c>
      <c r="D117" s="5">
        <f>B117+C117</f>
        <v>4383</v>
      </c>
      <c r="E117" s="3"/>
    </row>
    <row r="118" spans="1:5" ht="12.75" customHeight="1" x14ac:dyDescent="0.4">
      <c r="A118" s="7" t="s">
        <v>117</v>
      </c>
      <c r="B118" s="9">
        <f>SUM(B15:B17)</f>
        <v>1188</v>
      </c>
      <c r="C118" s="9">
        <f>SUM(C15:C17)</f>
        <v>1085</v>
      </c>
      <c r="D118" s="5">
        <f>B118+C118</f>
        <v>2273</v>
      </c>
      <c r="E118" s="3"/>
    </row>
    <row r="119" spans="1:5" ht="12.75" customHeight="1" x14ac:dyDescent="0.4">
      <c r="A119" s="7" t="s">
        <v>118</v>
      </c>
      <c r="B119" s="9">
        <f>SUM(B116:B118)</f>
        <v>5750</v>
      </c>
      <c r="C119" s="9">
        <f>SUM(C116:C118)</f>
        <v>5486</v>
      </c>
      <c r="D119" s="9">
        <f>SUM(D116:D118)</f>
        <v>11236</v>
      </c>
      <c r="E119" s="11">
        <f>D119/D135</f>
        <v>0.13084743394161008</v>
      </c>
    </row>
    <row r="120" spans="1:5" ht="12.75" customHeight="1" x14ac:dyDescent="0.4">
      <c r="A120" s="3"/>
      <c r="B120" s="3"/>
      <c r="C120" s="3"/>
      <c r="D120" s="3"/>
      <c r="E120" s="3"/>
    </row>
    <row r="121" spans="1:5" ht="12.75" customHeight="1" x14ac:dyDescent="0.4">
      <c r="A121" s="2" t="s">
        <v>0</v>
      </c>
      <c r="B121" s="2" t="s">
        <v>1</v>
      </c>
      <c r="C121" s="2" t="s">
        <v>2</v>
      </c>
      <c r="D121" s="2" t="s">
        <v>3</v>
      </c>
      <c r="E121" s="3"/>
    </row>
    <row r="122" spans="1:5" ht="12.75" customHeight="1" x14ac:dyDescent="0.4">
      <c r="A122" s="2" t="s">
        <v>119</v>
      </c>
      <c r="B122" s="5">
        <f>SUM(B18:B20)</f>
        <v>1214</v>
      </c>
      <c r="C122" s="5">
        <f>SUM(C18:C20)</f>
        <v>1144</v>
      </c>
      <c r="D122" s="5">
        <f t="shared" ref="D122:D126" si="1">B122+C122</f>
        <v>2358</v>
      </c>
      <c r="E122" s="3"/>
    </row>
    <row r="123" spans="1:5" ht="12.75" customHeight="1" x14ac:dyDescent="0.4">
      <c r="A123" s="2" t="s">
        <v>120</v>
      </c>
      <c r="B123" s="5">
        <f>SUM(B21:B32)</f>
        <v>5778</v>
      </c>
      <c r="C123" s="5">
        <f>SUM(C21:C32)</f>
        <v>5354</v>
      </c>
      <c r="D123" s="5">
        <f t="shared" si="1"/>
        <v>11132</v>
      </c>
      <c r="E123" s="3"/>
    </row>
    <row r="124" spans="1:5" ht="12.75" customHeight="1" x14ac:dyDescent="0.4">
      <c r="A124" s="2" t="s">
        <v>121</v>
      </c>
      <c r="B124" s="5">
        <f>SUM(B33:B42)</f>
        <v>5573</v>
      </c>
      <c r="C124" s="5">
        <f>SUM(C33:C42)</f>
        <v>5323</v>
      </c>
      <c r="D124" s="5">
        <f t="shared" si="1"/>
        <v>10896</v>
      </c>
      <c r="E124" s="3"/>
    </row>
    <row r="125" spans="1:5" ht="12.75" customHeight="1" x14ac:dyDescent="0.4">
      <c r="A125" s="2" t="s">
        <v>122</v>
      </c>
      <c r="B125" s="5">
        <f>SUM(B43:B52)</f>
        <v>7361</v>
      </c>
      <c r="C125" s="5">
        <f>SUM(C43:C52)</f>
        <v>6701</v>
      </c>
      <c r="D125" s="5">
        <f t="shared" si="1"/>
        <v>14062</v>
      </c>
      <c r="E125" s="3"/>
    </row>
    <row r="126" spans="1:5" ht="12.75" customHeight="1" x14ac:dyDescent="0.4">
      <c r="A126" s="12" t="s">
        <v>123</v>
      </c>
      <c r="B126" s="5">
        <f>SUM(B53:B67)</f>
        <v>7325</v>
      </c>
      <c r="C126" s="5">
        <f>SUM(C53:C67)</f>
        <v>6864</v>
      </c>
      <c r="D126" s="5">
        <f t="shared" si="1"/>
        <v>14189</v>
      </c>
      <c r="E126" s="3"/>
    </row>
    <row r="127" spans="1:5" ht="12.75" customHeight="1" x14ac:dyDescent="0.4">
      <c r="A127" s="7" t="s">
        <v>124</v>
      </c>
      <c r="B127" s="10">
        <f>SUM(B122:B126)</f>
        <v>27251</v>
      </c>
      <c r="C127" s="10">
        <f>SUM(C122:C126)</f>
        <v>25386</v>
      </c>
      <c r="D127" s="10">
        <f>SUM(D122:D126)</f>
        <v>52637</v>
      </c>
      <c r="E127" s="11">
        <f>D127/D135</f>
        <v>0.61297760594379946</v>
      </c>
    </row>
    <row r="128" spans="1:5" ht="12.75" customHeight="1" x14ac:dyDescent="0.4">
      <c r="A128" s="3"/>
      <c r="B128" s="3"/>
      <c r="C128" s="3"/>
      <c r="D128" s="3"/>
      <c r="E128" s="3"/>
    </row>
    <row r="129" spans="1:5" ht="12.75" customHeight="1" x14ac:dyDescent="0.4">
      <c r="A129" s="2" t="s">
        <v>0</v>
      </c>
      <c r="B129" s="2" t="s">
        <v>1</v>
      </c>
      <c r="C129" s="2" t="s">
        <v>2</v>
      </c>
      <c r="D129" s="2" t="s">
        <v>3</v>
      </c>
      <c r="E129" s="3"/>
    </row>
    <row r="130" spans="1:5" ht="12.75" customHeight="1" x14ac:dyDescent="0.4">
      <c r="A130" s="2" t="s">
        <v>125</v>
      </c>
      <c r="B130" s="5">
        <f>SUM(B68:B72)</f>
        <v>2638</v>
      </c>
      <c r="C130" s="5">
        <f>SUM(C68:C72)</f>
        <v>2955</v>
      </c>
      <c r="D130" s="5">
        <f t="shared" ref="D130:D131" si="2">B130+C130</f>
        <v>5593</v>
      </c>
      <c r="E130" s="3"/>
    </row>
    <row r="131" spans="1:5" ht="12.75" customHeight="1" x14ac:dyDescent="0.4">
      <c r="A131" s="12" t="s">
        <v>126</v>
      </c>
      <c r="B131" s="5">
        <f>SUM(B73:B113)</f>
        <v>7132</v>
      </c>
      <c r="C131" s="5">
        <f>SUM(C73:C113)</f>
        <v>9273</v>
      </c>
      <c r="D131" s="5">
        <f t="shared" si="2"/>
        <v>16405</v>
      </c>
      <c r="E131" s="3"/>
    </row>
    <row r="132" spans="1:5" ht="12.75" customHeight="1" x14ac:dyDescent="0.4">
      <c r="A132" s="7" t="s">
        <v>127</v>
      </c>
      <c r="B132" s="10">
        <f>SUM(B130:B131)</f>
        <v>9770</v>
      </c>
      <c r="C132" s="10">
        <f>SUM(C130:C131)</f>
        <v>12228</v>
      </c>
      <c r="D132" s="10">
        <f>SUM(D130:D131)</f>
        <v>21998</v>
      </c>
      <c r="E132" s="11">
        <f>D132/D135</f>
        <v>0.25617496011459051</v>
      </c>
    </row>
    <row r="133" spans="1:5" ht="12.75" customHeight="1" x14ac:dyDescent="0.4">
      <c r="A133" s="3"/>
      <c r="B133" s="3"/>
      <c r="C133" s="3"/>
      <c r="D133" s="3"/>
      <c r="E133" s="3"/>
    </row>
    <row r="134" spans="1:5" ht="12.75" customHeight="1" x14ac:dyDescent="0.4">
      <c r="A134" s="145" t="s">
        <v>128</v>
      </c>
      <c r="B134" s="2" t="s">
        <v>1</v>
      </c>
      <c r="C134" s="2" t="s">
        <v>2</v>
      </c>
      <c r="D134" s="2" t="s">
        <v>3</v>
      </c>
      <c r="E134" s="3"/>
    </row>
    <row r="135" spans="1:5" ht="12.75" customHeight="1" x14ac:dyDescent="0.4">
      <c r="A135" s="146"/>
      <c r="B135" s="5">
        <f>SUM(B3:B113)</f>
        <v>42771</v>
      </c>
      <c r="C135" s="5">
        <f>SUM(C3:C113)</f>
        <v>43100</v>
      </c>
      <c r="D135" s="5">
        <f>B135+C135</f>
        <v>85871</v>
      </c>
      <c r="E135" s="3"/>
    </row>
    <row r="137" spans="1:5" ht="12.75" customHeight="1" x14ac:dyDescent="0.4">
      <c r="A137" s="1" t="s">
        <v>129</v>
      </c>
    </row>
  </sheetData>
  <mergeCells count="1">
    <mergeCell ref="A134:A135"/>
  </mergeCells>
  <phoneticPr fontId="16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7"/>
  <sheetViews>
    <sheetView workbookViewId="0">
      <selection activeCell="C102" sqref="C102"/>
    </sheetView>
  </sheetViews>
  <sheetFormatPr defaultRowHeight="18.75" x14ac:dyDescent="0.4"/>
  <cols>
    <col min="1" max="6" width="9" style="106"/>
    <col min="7" max="7" width="35.125" style="106" bestFit="1" customWidth="1"/>
    <col min="8" max="16384" width="9" style="106"/>
  </cols>
  <sheetData>
    <row r="1" spans="1:7" ht="19.5" x14ac:dyDescent="0.4">
      <c r="A1" s="168" t="str">
        <f>HLOOKUP("基準日",[10]データ貼り付けシート!$1:$2,2,FALSE)</f>
        <v>令和元年10月31日</v>
      </c>
      <c r="B1" s="168"/>
      <c r="C1" s="168"/>
      <c r="D1" s="168"/>
      <c r="E1" s="168"/>
      <c r="G1" s="107"/>
    </row>
    <row r="2" spans="1:7" x14ac:dyDescent="0.4">
      <c r="A2" s="108" t="s">
        <v>0</v>
      </c>
      <c r="B2" s="108" t="s">
        <v>1</v>
      </c>
      <c r="C2" s="108" t="s">
        <v>2</v>
      </c>
      <c r="D2" s="108" t="s">
        <v>3</v>
      </c>
      <c r="E2" s="109"/>
    </row>
    <row r="3" spans="1:7" x14ac:dyDescent="0.4">
      <c r="A3" s="110" t="s">
        <v>4</v>
      </c>
      <c r="B3" s="111">
        <f>HLOOKUP(SUBSTITUTE(CONCATENATE(SUBSTITUTE(SUBSTITUTE(A3,"歳","")," ",""),"_男")," ",""),[10]データ貼り付けシート!$1:$2,2,FALSE)</f>
        <v>399</v>
      </c>
      <c r="C3" s="111">
        <f>HLOOKUP(SUBSTITUTE(CONCATENATE(SUBSTITUTE(SUBSTITUTE(A3,"歳","")," ",""),"_女")," ",""),[10]データ貼り付けシート!$1:$2,2,FALSE)</f>
        <v>367</v>
      </c>
      <c r="D3" s="111">
        <f>HLOOKUP(SUBSTITUTE(CONCATENATE(SUBSTITUTE(SUBSTITUTE(A3,"歳","")," ",""),"_全体")," ",""),[10]データ貼り付けシート!$1:$2,2,FALSE)</f>
        <v>766</v>
      </c>
      <c r="E3" s="109"/>
    </row>
    <row r="4" spans="1:7" x14ac:dyDescent="0.4">
      <c r="A4" s="110" t="s">
        <v>5</v>
      </c>
      <c r="B4" s="111">
        <f>HLOOKUP(SUBSTITUTE(CONCATENATE(SUBSTITUTE(SUBSTITUTE(A4,"歳","")," ",""),"_男")," ",""),[10]データ貼り付けシート!$1:$2,2,FALSE)</f>
        <v>403</v>
      </c>
      <c r="C4" s="111">
        <f>HLOOKUP(SUBSTITUTE(CONCATENATE(SUBSTITUTE(SUBSTITUTE(A4,"歳","")," ",""),"_女")," ",""),[10]データ貼り付けシート!$1:$2,2,FALSE)</f>
        <v>414</v>
      </c>
      <c r="D4" s="111">
        <f>HLOOKUP(SUBSTITUTE(CONCATENATE(SUBSTITUTE(SUBSTITUTE(A4,"歳","")," ",""),"_全体")," ",""),[10]データ貼り付けシート!$1:$2,2,FALSE)</f>
        <v>817</v>
      </c>
      <c r="E4" s="109"/>
    </row>
    <row r="5" spans="1:7" x14ac:dyDescent="0.4">
      <c r="A5" s="110" t="s">
        <v>6</v>
      </c>
      <c r="B5" s="111">
        <f>HLOOKUP(SUBSTITUTE(CONCATENATE(SUBSTITUTE(SUBSTITUTE(A5,"歳","")," ",""),"_男")," ",""),[10]データ貼り付けシート!$1:$2,2,FALSE)</f>
        <v>397</v>
      </c>
      <c r="C5" s="111">
        <f>HLOOKUP(SUBSTITUTE(CONCATENATE(SUBSTITUTE(SUBSTITUTE(A5,"歳","")," ",""),"_女")," ",""),[10]データ貼り付けシート!$1:$2,2,FALSE)</f>
        <v>357</v>
      </c>
      <c r="D5" s="111">
        <f>HLOOKUP(SUBSTITUTE(CONCATENATE(SUBSTITUTE(SUBSTITUTE(A5,"歳","")," ",""),"_全体")," ",""),[10]データ貼り付けシート!$1:$2,2,FALSE)</f>
        <v>754</v>
      </c>
      <c r="E5" s="109"/>
    </row>
    <row r="6" spans="1:7" x14ac:dyDescent="0.4">
      <c r="A6" s="110" t="s">
        <v>7</v>
      </c>
      <c r="B6" s="111">
        <f>HLOOKUP(SUBSTITUTE(CONCATENATE(SUBSTITUTE(SUBSTITUTE(A6,"歳","")," ",""),"_男")," ",""),[10]データ貼り付けシート!$1:$2,2,FALSE)</f>
        <v>414</v>
      </c>
      <c r="C6" s="111">
        <f>HLOOKUP(SUBSTITUTE(CONCATENATE(SUBSTITUTE(SUBSTITUTE(A6,"歳","")," ",""),"_女")," ",""),[10]データ貼り付けシート!$1:$2,2,FALSE)</f>
        <v>375</v>
      </c>
      <c r="D6" s="111">
        <f>HLOOKUP(SUBSTITUTE(CONCATENATE(SUBSTITUTE(SUBSTITUTE(A6,"歳","")," ",""),"_全体")," ",""),[10]データ貼り付けシート!$1:$2,2,FALSE)</f>
        <v>789</v>
      </c>
      <c r="E6" s="109"/>
    </row>
    <row r="7" spans="1:7" x14ac:dyDescent="0.4">
      <c r="A7" s="110" t="s">
        <v>8</v>
      </c>
      <c r="B7" s="111">
        <f>HLOOKUP(SUBSTITUTE(CONCATENATE(SUBSTITUTE(SUBSTITUTE(A7,"歳","")," ",""),"_男")," ",""),[10]データ貼り付けシート!$1:$2,2,FALSE)</f>
        <v>369</v>
      </c>
      <c r="C7" s="111">
        <f>HLOOKUP(SUBSTITUTE(CONCATENATE(SUBSTITUTE(SUBSTITUTE(A7,"歳","")," ",""),"_女")," ",""),[10]データ貼り付けシート!$1:$2,2,FALSE)</f>
        <v>347</v>
      </c>
      <c r="D7" s="111">
        <f>HLOOKUP(SUBSTITUTE(CONCATENATE(SUBSTITUTE(SUBSTITUTE(A7,"歳","")," ",""),"_全体")," ",""),[10]データ貼り付けシート!$1:$2,2,FALSE)</f>
        <v>716</v>
      </c>
      <c r="E7" s="109"/>
    </row>
    <row r="8" spans="1:7" x14ac:dyDescent="0.4">
      <c r="A8" s="110" t="s">
        <v>9</v>
      </c>
      <c r="B8" s="111">
        <f>HLOOKUP(SUBSTITUTE(CONCATENATE(SUBSTITUTE(SUBSTITUTE(A8,"歳","")," ",""),"_男")," ",""),[10]データ貼り付けシート!$1:$2,2,FALSE)</f>
        <v>376</v>
      </c>
      <c r="C8" s="111">
        <f>HLOOKUP(SUBSTITUTE(CONCATENATE(SUBSTITUTE(SUBSTITUTE(A8,"歳","")," ",""),"_女")," ",""),[10]データ貼り付けシート!$1:$2,2,FALSE)</f>
        <v>394</v>
      </c>
      <c r="D8" s="111">
        <f>HLOOKUP(SUBSTITUTE(CONCATENATE(SUBSTITUTE(SUBSTITUTE(A8,"歳","")," ",""),"_全体")," ",""),[10]データ貼り付けシート!$1:$2,2,FALSE)</f>
        <v>770</v>
      </c>
      <c r="E8" s="109"/>
    </row>
    <row r="9" spans="1:7" x14ac:dyDescent="0.4">
      <c r="A9" s="110" t="s">
        <v>10</v>
      </c>
      <c r="B9" s="111">
        <f>HLOOKUP(SUBSTITUTE(CONCATENATE(SUBSTITUTE(SUBSTITUTE(A9,"歳","")," ",""),"_男")," ",""),[10]データ貼り付けシート!$1:$2,2,FALSE)</f>
        <v>375</v>
      </c>
      <c r="C9" s="111">
        <f>HLOOKUP(SUBSTITUTE(CONCATENATE(SUBSTITUTE(SUBSTITUTE(A9,"歳","")," ",""),"_女")," ",""),[10]データ貼り付けシート!$1:$2,2,FALSE)</f>
        <v>312</v>
      </c>
      <c r="D9" s="111">
        <f>HLOOKUP(SUBSTITUTE(CONCATENATE(SUBSTITUTE(SUBSTITUTE(A9,"歳","")," ",""),"_全体")," ",""),[10]データ貼り付けシート!$1:$2,2,FALSE)</f>
        <v>687</v>
      </c>
      <c r="E9" s="109"/>
    </row>
    <row r="10" spans="1:7" x14ac:dyDescent="0.4">
      <c r="A10" s="110" t="s">
        <v>11</v>
      </c>
      <c r="B10" s="111">
        <f>HLOOKUP(SUBSTITUTE(CONCATENATE(SUBSTITUTE(SUBSTITUTE(A10,"歳","")," ",""),"_男")," ",""),[10]データ貼り付けシート!$1:$2,2,FALSE)</f>
        <v>343</v>
      </c>
      <c r="C10" s="111">
        <f>HLOOKUP(SUBSTITUTE(CONCATENATE(SUBSTITUTE(SUBSTITUTE(A10,"歳","")," ",""),"_女")," ",""),[10]データ貼り付けシート!$1:$2,2,FALSE)</f>
        <v>369</v>
      </c>
      <c r="D10" s="111">
        <f>HLOOKUP(SUBSTITUTE(CONCATENATE(SUBSTITUTE(SUBSTITUTE(A10,"歳","")," ",""),"_全体")," ",""),[10]データ貼り付けシート!$1:$2,2,FALSE)</f>
        <v>712</v>
      </c>
      <c r="E10" s="109"/>
    </row>
    <row r="11" spans="1:7" x14ac:dyDescent="0.4">
      <c r="A11" s="110" t="s">
        <v>12</v>
      </c>
      <c r="B11" s="111">
        <f>HLOOKUP(SUBSTITUTE(CONCATENATE(SUBSTITUTE(SUBSTITUTE(A11,"歳","")," ",""),"_男")," ",""),[10]データ貼り付けシート!$1:$2,2,FALSE)</f>
        <v>365</v>
      </c>
      <c r="C11" s="111">
        <f>HLOOKUP(SUBSTITUTE(CONCATENATE(SUBSTITUTE(SUBSTITUTE(A11,"歳","")," ",""),"_女")," ",""),[10]データ貼り付けシート!$1:$2,2,FALSE)</f>
        <v>354</v>
      </c>
      <c r="D11" s="111">
        <f>HLOOKUP(SUBSTITUTE(CONCATENATE(SUBSTITUTE(SUBSTITUTE(A11,"歳","")," ",""),"_全体")," ",""),[10]データ貼り付けシート!$1:$2,2,FALSE)</f>
        <v>719</v>
      </c>
      <c r="E11" s="109"/>
    </row>
    <row r="12" spans="1:7" x14ac:dyDescent="0.4">
      <c r="A12" s="110" t="s">
        <v>13</v>
      </c>
      <c r="B12" s="111">
        <f>HLOOKUP(SUBSTITUTE(CONCATENATE(SUBSTITUTE(SUBSTITUTE(A12,"歳","")," ",""),"_男")," ",""),[10]データ貼り付けシート!$1:$2,2,FALSE)</f>
        <v>384</v>
      </c>
      <c r="C12" s="111">
        <f>HLOOKUP(SUBSTITUTE(CONCATENATE(SUBSTITUTE(SUBSTITUTE(A12,"歳","")," ",""),"_女")," ",""),[10]データ貼り付けシート!$1:$2,2,FALSE)</f>
        <v>364</v>
      </c>
      <c r="D12" s="111">
        <f>HLOOKUP(SUBSTITUTE(CONCATENATE(SUBSTITUTE(SUBSTITUTE(A12,"歳","")," ",""),"_全体")," ",""),[10]データ貼り付けシート!$1:$2,2,FALSE)</f>
        <v>748</v>
      </c>
      <c r="E12" s="109"/>
    </row>
    <row r="13" spans="1:7" x14ac:dyDescent="0.4">
      <c r="A13" s="110" t="s">
        <v>14</v>
      </c>
      <c r="B13" s="111">
        <f>HLOOKUP(SUBSTITUTE(CONCATENATE(SUBSTITUTE(SUBSTITUTE(A13,"歳","")," ",""),"_男")," ",""),[10]データ貼り付けシート!$1:$2,2,FALSE)</f>
        <v>391</v>
      </c>
      <c r="C13" s="111">
        <f>HLOOKUP(SUBSTITUTE(CONCATENATE(SUBSTITUTE(SUBSTITUTE(A13,"歳","")," ",""),"_女")," ",""),[10]データ貼り付けシート!$1:$2,2,FALSE)</f>
        <v>355</v>
      </c>
      <c r="D13" s="111">
        <f>HLOOKUP(SUBSTITUTE(CONCATENATE(SUBSTITUTE(SUBSTITUTE(A13,"歳","")," ",""),"_全体")," ",""),[10]データ貼り付けシート!$1:$2,2,FALSE)</f>
        <v>746</v>
      </c>
      <c r="E13" s="109"/>
    </row>
    <row r="14" spans="1:7" x14ac:dyDescent="0.4">
      <c r="A14" s="110" t="s">
        <v>15</v>
      </c>
      <c r="B14" s="111">
        <f>HLOOKUP(SUBSTITUTE(CONCATENATE(SUBSTITUTE(SUBSTITUTE(A14,"歳","")," ",""),"_男")," ",""),[10]データ貼り付けシート!$1:$2,2,FALSE)</f>
        <v>326</v>
      </c>
      <c r="C14" s="111">
        <f>HLOOKUP(SUBSTITUTE(CONCATENATE(SUBSTITUTE(SUBSTITUTE(A14,"歳","")," ",""),"_女")," ",""),[10]データ貼り付けシート!$1:$2,2,FALSE)</f>
        <v>342</v>
      </c>
      <c r="D14" s="111">
        <f>HLOOKUP(SUBSTITUTE(CONCATENATE(SUBSTITUTE(SUBSTITUTE(A14,"歳","")," ",""),"_全体")," ",""),[10]データ貼り付けシート!$1:$2,2,FALSE)</f>
        <v>668</v>
      </c>
      <c r="E14" s="109"/>
    </row>
    <row r="15" spans="1:7" x14ac:dyDescent="0.4">
      <c r="A15" s="110" t="s">
        <v>16</v>
      </c>
      <c r="B15" s="111">
        <f>HLOOKUP(SUBSTITUTE(CONCATENATE(SUBSTITUTE(SUBSTITUTE(A15,"歳","")," ",""),"_男")," ",""),[10]データ貼り付けシート!$1:$2,2,FALSE)</f>
        <v>377</v>
      </c>
      <c r="C15" s="111">
        <f>HLOOKUP(SUBSTITUTE(CONCATENATE(SUBSTITUTE(SUBSTITUTE(A15,"歳","")," ",""),"_女")," ",""),[10]データ貼り付けシート!$1:$2,2,FALSE)</f>
        <v>382</v>
      </c>
      <c r="D15" s="111">
        <f>HLOOKUP(SUBSTITUTE(CONCATENATE(SUBSTITUTE(SUBSTITUTE(A15,"歳","")," ",""),"_全体")," ",""),[10]データ貼り付けシート!$1:$2,2,FALSE)</f>
        <v>759</v>
      </c>
      <c r="E15" s="109"/>
    </row>
    <row r="16" spans="1:7" x14ac:dyDescent="0.4">
      <c r="A16" s="110" t="s">
        <v>17</v>
      </c>
      <c r="B16" s="111">
        <f>HLOOKUP(SUBSTITUTE(CONCATENATE(SUBSTITUTE(SUBSTITUTE(A16,"歳","")," ",""),"_男")," ",""),[10]データ貼り付けシート!$1:$2,2,FALSE)</f>
        <v>387</v>
      </c>
      <c r="C16" s="111">
        <f>HLOOKUP(SUBSTITUTE(CONCATENATE(SUBSTITUTE(SUBSTITUTE(A16,"歳","")," ",""),"_女")," ",""),[10]データ貼り付けシート!$1:$2,2,FALSE)</f>
        <v>336</v>
      </c>
      <c r="D16" s="111">
        <f>HLOOKUP(SUBSTITUTE(CONCATENATE(SUBSTITUTE(SUBSTITUTE(A16,"歳","")," ",""),"_全体")," ",""),[10]データ貼り付けシート!$1:$2,2,FALSE)</f>
        <v>723</v>
      </c>
      <c r="E16" s="109"/>
    </row>
    <row r="17" spans="1:5" x14ac:dyDescent="0.4">
      <c r="A17" s="110" t="s">
        <v>18</v>
      </c>
      <c r="B17" s="111">
        <f>HLOOKUP(SUBSTITUTE(CONCATENATE(SUBSTITUTE(SUBSTITUTE(A17,"歳","")," ",""),"_男")," ",""),[10]データ貼り付けシート!$1:$2,2,FALSE)</f>
        <v>403</v>
      </c>
      <c r="C17" s="111">
        <f>HLOOKUP(SUBSTITUTE(CONCATENATE(SUBSTITUTE(SUBSTITUTE(A17,"歳","")," ",""),"_女")," ",""),[10]データ貼り付けシート!$1:$2,2,FALSE)</f>
        <v>390</v>
      </c>
      <c r="D17" s="111">
        <f>HLOOKUP(SUBSTITUTE(CONCATENATE(SUBSTITUTE(SUBSTITUTE(A17,"歳","")," ",""),"_全体")," ",""),[10]データ貼り付けシート!$1:$2,2,FALSE)</f>
        <v>793</v>
      </c>
      <c r="E17" s="109"/>
    </row>
    <row r="18" spans="1:5" x14ac:dyDescent="0.4">
      <c r="A18" s="110" t="s">
        <v>19</v>
      </c>
      <c r="B18" s="111">
        <f>HLOOKUP(SUBSTITUTE(CONCATENATE(SUBSTITUTE(SUBSTITUTE(A18,"歳","")," ",""),"_男")," ",""),[10]データ貼り付けシート!$1:$2,2,FALSE)</f>
        <v>403</v>
      </c>
      <c r="C18" s="111">
        <f>HLOOKUP(SUBSTITUTE(CONCATENATE(SUBSTITUTE(SUBSTITUTE(A18,"歳","")," ",""),"_女")," ",""),[10]データ貼り付けシート!$1:$2,2,FALSE)</f>
        <v>366</v>
      </c>
      <c r="D18" s="111">
        <f>HLOOKUP(SUBSTITUTE(CONCATENATE(SUBSTITUTE(SUBSTITUTE(A18,"歳","")," ",""),"_全体")," ",""),[10]データ貼り付けシート!$1:$2,2,FALSE)</f>
        <v>769</v>
      </c>
      <c r="E18" s="109"/>
    </row>
    <row r="19" spans="1:5" x14ac:dyDescent="0.4">
      <c r="A19" s="110" t="s">
        <v>20</v>
      </c>
      <c r="B19" s="111">
        <f>HLOOKUP(SUBSTITUTE(CONCATENATE(SUBSTITUTE(SUBSTITUTE(A19,"歳","")," ",""),"_男")," ",""),[10]データ貼り付けシート!$1:$2,2,FALSE)</f>
        <v>374</v>
      </c>
      <c r="C19" s="111">
        <f>HLOOKUP(SUBSTITUTE(CONCATENATE(SUBSTITUTE(SUBSTITUTE(A19,"歳","")," ",""),"_女")," ",""),[10]データ貼り付けシート!$1:$2,2,FALSE)</f>
        <v>361</v>
      </c>
      <c r="D19" s="111">
        <f>HLOOKUP(SUBSTITUTE(CONCATENATE(SUBSTITUTE(SUBSTITUTE(A19,"歳","")," ",""),"_全体")," ",""),[10]データ貼り付けシート!$1:$2,2,FALSE)</f>
        <v>735</v>
      </c>
      <c r="E19" s="109"/>
    </row>
    <row r="20" spans="1:5" x14ac:dyDescent="0.4">
      <c r="A20" s="110" t="s">
        <v>21</v>
      </c>
      <c r="B20" s="111">
        <f>HLOOKUP(SUBSTITUTE(CONCATENATE(SUBSTITUTE(SUBSTITUTE(A20,"歳","")," ",""),"_男")," ",""),[10]データ貼り付けシート!$1:$2,2,FALSE)</f>
        <v>405</v>
      </c>
      <c r="C20" s="111">
        <f>HLOOKUP(SUBSTITUTE(CONCATENATE(SUBSTITUTE(SUBSTITUTE(A20,"歳","")," ",""),"_女")," ",""),[10]データ貼り付けシート!$1:$2,2,FALSE)</f>
        <v>406</v>
      </c>
      <c r="D20" s="111">
        <f>HLOOKUP(SUBSTITUTE(CONCATENATE(SUBSTITUTE(SUBSTITUTE(A20,"歳","")," ",""),"_全体")," ",""),[10]データ貼り付けシート!$1:$2,2,FALSE)</f>
        <v>811</v>
      </c>
      <c r="E20" s="109"/>
    </row>
    <row r="21" spans="1:5" x14ac:dyDescent="0.4">
      <c r="A21" s="110" t="s">
        <v>22</v>
      </c>
      <c r="B21" s="111">
        <f>HLOOKUP(SUBSTITUTE(CONCATENATE(SUBSTITUTE(SUBSTITUTE(A21,"歳","")," ",""),"_男")," ",""),[10]データ貼り付けシート!$1:$2,2,FALSE)</f>
        <v>445</v>
      </c>
      <c r="C21" s="111">
        <f>HLOOKUP(SUBSTITUTE(CONCATENATE(SUBSTITUTE(SUBSTITUTE(A21,"歳","")," ",""),"_女")," ",""),[10]データ貼り付けシート!$1:$2,2,FALSE)</f>
        <v>373</v>
      </c>
      <c r="D21" s="111">
        <f>HLOOKUP(SUBSTITUTE(CONCATENATE(SUBSTITUTE(SUBSTITUTE(A21,"歳","")," ",""),"_全体")," ",""),[10]データ貼り付けシート!$1:$2,2,FALSE)</f>
        <v>818</v>
      </c>
      <c r="E21" s="109"/>
    </row>
    <row r="22" spans="1:5" x14ac:dyDescent="0.4">
      <c r="A22" s="110" t="s">
        <v>23</v>
      </c>
      <c r="B22" s="111">
        <f>HLOOKUP(SUBSTITUTE(CONCATENATE(SUBSTITUTE(SUBSTITUTE(A22,"歳","")," ",""),"_男")," ",""),[10]データ貼り付けシート!$1:$2,2,FALSE)</f>
        <v>451</v>
      </c>
      <c r="C22" s="111">
        <f>HLOOKUP(SUBSTITUTE(CONCATENATE(SUBSTITUTE(SUBSTITUTE(A22,"歳","")," ",""),"_女")," ",""),[10]データ貼り付けシート!$1:$2,2,FALSE)</f>
        <v>441</v>
      </c>
      <c r="D22" s="111">
        <f>HLOOKUP(SUBSTITUTE(CONCATENATE(SUBSTITUTE(SUBSTITUTE(A22,"歳","")," ",""),"_全体")," ",""),[10]データ貼り付けシート!$1:$2,2,FALSE)</f>
        <v>892</v>
      </c>
      <c r="E22" s="109"/>
    </row>
    <row r="23" spans="1:5" x14ac:dyDescent="0.4">
      <c r="A23" s="110" t="s">
        <v>24</v>
      </c>
      <c r="B23" s="111">
        <f>HLOOKUP(SUBSTITUTE(CONCATENATE(SUBSTITUTE(SUBSTITUTE(A23,"歳","")," ",""),"_男")," ",""),[10]データ貼り付けシート!$1:$2,2,FALSE)</f>
        <v>488</v>
      </c>
      <c r="C23" s="111">
        <f>HLOOKUP(SUBSTITUTE(CONCATENATE(SUBSTITUTE(SUBSTITUTE(A23,"歳","")," ",""),"_女")," ",""),[10]データ貼り付けシート!$1:$2,2,FALSE)</f>
        <v>434</v>
      </c>
      <c r="D23" s="111">
        <f>HLOOKUP(SUBSTITUTE(CONCATENATE(SUBSTITUTE(SUBSTITUTE(A23,"歳","")," ",""),"_全体")," ",""),[10]データ貼り付けシート!$1:$2,2,FALSE)</f>
        <v>922</v>
      </c>
      <c r="E23" s="109"/>
    </row>
    <row r="24" spans="1:5" x14ac:dyDescent="0.4">
      <c r="A24" s="110" t="s">
        <v>25</v>
      </c>
      <c r="B24" s="111">
        <f>HLOOKUP(SUBSTITUTE(CONCATENATE(SUBSTITUTE(SUBSTITUTE(A24,"歳","")," ",""),"_男")," ",""),[10]データ貼り付けシート!$1:$2,2,FALSE)</f>
        <v>487</v>
      </c>
      <c r="C24" s="111">
        <f>HLOOKUP(SUBSTITUTE(CONCATENATE(SUBSTITUTE(SUBSTITUTE(A24,"歳","")," ",""),"_女")," ",""),[10]データ貼り付けシート!$1:$2,2,FALSE)</f>
        <v>425</v>
      </c>
      <c r="D24" s="111">
        <f>HLOOKUP(SUBSTITUTE(CONCATENATE(SUBSTITUTE(SUBSTITUTE(A24,"歳","")," ",""),"_全体")," ",""),[10]データ貼り付けシート!$1:$2,2,FALSE)</f>
        <v>912</v>
      </c>
      <c r="E24" s="109"/>
    </row>
    <row r="25" spans="1:5" x14ac:dyDescent="0.4">
      <c r="A25" s="110" t="s">
        <v>26</v>
      </c>
      <c r="B25" s="111">
        <f>HLOOKUP(SUBSTITUTE(CONCATENATE(SUBSTITUTE(SUBSTITUTE(A25,"歳","")," ",""),"_男")," ",""),[10]データ貼り付けシート!$1:$2,2,FALSE)</f>
        <v>481</v>
      </c>
      <c r="C25" s="111">
        <f>HLOOKUP(SUBSTITUTE(CONCATENATE(SUBSTITUTE(SUBSTITUTE(A25,"歳","")," ",""),"_女")," ",""),[10]データ貼り付けシート!$1:$2,2,FALSE)</f>
        <v>473</v>
      </c>
      <c r="D25" s="111">
        <f>HLOOKUP(SUBSTITUTE(CONCATENATE(SUBSTITUTE(SUBSTITUTE(A25,"歳","")," ",""),"_全体")," ",""),[10]データ貼り付けシート!$1:$2,2,FALSE)</f>
        <v>954</v>
      </c>
      <c r="E25" s="109"/>
    </row>
    <row r="26" spans="1:5" x14ac:dyDescent="0.4">
      <c r="A26" s="110" t="s">
        <v>27</v>
      </c>
      <c r="B26" s="111">
        <f>HLOOKUP(SUBSTITUTE(CONCATENATE(SUBSTITUTE(SUBSTITUTE(A26,"歳","")," ",""),"_男")," ",""),[10]データ貼り付けシート!$1:$2,2,FALSE)</f>
        <v>502</v>
      </c>
      <c r="C26" s="111">
        <f>HLOOKUP(SUBSTITUTE(CONCATENATE(SUBSTITUTE(SUBSTITUTE(A26,"歳","")," ",""),"_女")," ",""),[10]データ貼り付けシート!$1:$2,2,FALSE)</f>
        <v>483</v>
      </c>
      <c r="D26" s="111">
        <f>HLOOKUP(SUBSTITUTE(CONCATENATE(SUBSTITUTE(SUBSTITUTE(A26,"歳","")," ",""),"_全体")," ",""),[10]データ貼り付けシート!$1:$2,2,FALSE)</f>
        <v>985</v>
      </c>
      <c r="E26" s="109"/>
    </row>
    <row r="27" spans="1:5" x14ac:dyDescent="0.4">
      <c r="A27" s="110" t="s">
        <v>28</v>
      </c>
      <c r="B27" s="111">
        <f>HLOOKUP(SUBSTITUTE(CONCATENATE(SUBSTITUTE(SUBSTITUTE(A27,"歳","")," ",""),"_男")," ",""),[10]データ貼り付けシート!$1:$2,2,FALSE)</f>
        <v>499</v>
      </c>
      <c r="C27" s="111">
        <f>HLOOKUP(SUBSTITUTE(CONCATENATE(SUBSTITUTE(SUBSTITUTE(A27,"歳","")," ",""),"_女")," ",""),[10]データ貼り付けシート!$1:$2,2,FALSE)</f>
        <v>429</v>
      </c>
      <c r="D27" s="111">
        <f>HLOOKUP(SUBSTITUTE(CONCATENATE(SUBSTITUTE(SUBSTITUTE(A27,"歳","")," ",""),"_全体")," ",""),[10]データ貼り付けシート!$1:$2,2,FALSE)</f>
        <v>928</v>
      </c>
      <c r="E27" s="109"/>
    </row>
    <row r="28" spans="1:5" x14ac:dyDescent="0.4">
      <c r="A28" s="110" t="s">
        <v>29</v>
      </c>
      <c r="B28" s="111">
        <f>HLOOKUP(SUBSTITUTE(CONCATENATE(SUBSTITUTE(SUBSTITUTE(A28,"歳","")," ",""),"_男")," ",""),[10]データ貼り付けシート!$1:$2,2,FALSE)</f>
        <v>519</v>
      </c>
      <c r="C28" s="111">
        <f>HLOOKUP(SUBSTITUTE(CONCATENATE(SUBSTITUTE(SUBSTITUTE(A28,"歳","")," ",""),"_女")," ",""),[10]データ貼り付けシート!$1:$2,2,FALSE)</f>
        <v>443</v>
      </c>
      <c r="D28" s="111">
        <f>HLOOKUP(SUBSTITUTE(CONCATENATE(SUBSTITUTE(SUBSTITUTE(A28,"歳","")," ",""),"_全体")," ",""),[10]データ貼り付けシート!$1:$2,2,FALSE)</f>
        <v>962</v>
      </c>
      <c r="E28" s="109"/>
    </row>
    <row r="29" spans="1:5" x14ac:dyDescent="0.4">
      <c r="A29" s="110" t="s">
        <v>30</v>
      </c>
      <c r="B29" s="111">
        <f>HLOOKUP(SUBSTITUTE(CONCATENATE(SUBSTITUTE(SUBSTITUTE(A29,"歳","")," ",""),"_男")," ",""),[10]データ貼り付けシート!$1:$2,2,FALSE)</f>
        <v>538</v>
      </c>
      <c r="C29" s="111">
        <f>HLOOKUP(SUBSTITUTE(CONCATENATE(SUBSTITUTE(SUBSTITUTE(A29,"歳","")," ",""),"_女")," ",""),[10]データ貼り付けシート!$1:$2,2,FALSE)</f>
        <v>470</v>
      </c>
      <c r="D29" s="111">
        <f>HLOOKUP(SUBSTITUTE(CONCATENATE(SUBSTITUTE(SUBSTITUTE(A29,"歳","")," ",""),"_全体")," ",""),[10]データ貼り付けシート!$1:$2,2,FALSE)</f>
        <v>1008</v>
      </c>
      <c r="E29" s="109"/>
    </row>
    <row r="30" spans="1:5" x14ac:dyDescent="0.4">
      <c r="A30" s="110" t="s">
        <v>31</v>
      </c>
      <c r="B30" s="111">
        <f>HLOOKUP(SUBSTITUTE(CONCATENATE(SUBSTITUTE(SUBSTITUTE(A30,"歳","")," ",""),"_男")," ",""),[10]データ貼り付けシート!$1:$2,2,FALSE)</f>
        <v>476</v>
      </c>
      <c r="C30" s="111">
        <f>HLOOKUP(SUBSTITUTE(CONCATENATE(SUBSTITUTE(SUBSTITUTE(A30,"歳","")," ",""),"_女")," ",""),[10]データ貼り付けシート!$1:$2,2,FALSE)</f>
        <v>487</v>
      </c>
      <c r="D30" s="111">
        <f>HLOOKUP(SUBSTITUTE(CONCATENATE(SUBSTITUTE(SUBSTITUTE(A30,"歳","")," ",""),"_全体")," ",""),[10]データ貼り付けシート!$1:$2,2,FALSE)</f>
        <v>963</v>
      </c>
      <c r="E30" s="109"/>
    </row>
    <row r="31" spans="1:5" x14ac:dyDescent="0.4">
      <c r="A31" s="110" t="s">
        <v>32</v>
      </c>
      <c r="B31" s="111">
        <f>HLOOKUP(SUBSTITUTE(CONCATENATE(SUBSTITUTE(SUBSTITUTE(A31,"歳","")," ",""),"_男")," ",""),[10]データ貼り付けシート!$1:$2,2,FALSE)</f>
        <v>548</v>
      </c>
      <c r="C31" s="111">
        <f>HLOOKUP(SUBSTITUTE(CONCATENATE(SUBSTITUTE(SUBSTITUTE(A31,"歳","")," ",""),"_女")," ",""),[10]データ貼り付けシート!$1:$2,2,FALSE)</f>
        <v>508</v>
      </c>
      <c r="D31" s="111">
        <f>HLOOKUP(SUBSTITUTE(CONCATENATE(SUBSTITUTE(SUBSTITUTE(A31,"歳","")," ",""),"_全体")," ",""),[10]データ貼り付けシート!$1:$2,2,FALSE)</f>
        <v>1056</v>
      </c>
      <c r="E31" s="109"/>
    </row>
    <row r="32" spans="1:5" x14ac:dyDescent="0.4">
      <c r="A32" s="110" t="s">
        <v>33</v>
      </c>
      <c r="B32" s="111">
        <f>HLOOKUP(SUBSTITUTE(CONCATENATE(SUBSTITUTE(SUBSTITUTE(A32,"歳","")," ",""),"_男")," ",""),[10]データ貼り付けシート!$1:$2,2,FALSE)</f>
        <v>536</v>
      </c>
      <c r="C32" s="111">
        <f>HLOOKUP(SUBSTITUTE(CONCATENATE(SUBSTITUTE(SUBSTITUTE(A32,"歳","")," ",""),"_女")," ",""),[10]データ貼り付けシート!$1:$2,2,FALSE)</f>
        <v>542</v>
      </c>
      <c r="D32" s="111">
        <f>HLOOKUP(SUBSTITUTE(CONCATENATE(SUBSTITUTE(SUBSTITUTE(A32,"歳","")," ",""),"_全体")," ",""),[10]データ貼り付けシート!$1:$2,2,FALSE)</f>
        <v>1078</v>
      </c>
      <c r="E32" s="109"/>
    </row>
    <row r="33" spans="1:5" x14ac:dyDescent="0.4">
      <c r="A33" s="110" t="s">
        <v>34</v>
      </c>
      <c r="B33" s="111">
        <f>HLOOKUP(SUBSTITUTE(CONCATENATE(SUBSTITUTE(SUBSTITUTE(A33,"歳","")," ",""),"_男")," ",""),[10]データ貼り付けシート!$1:$2,2,FALSE)</f>
        <v>519</v>
      </c>
      <c r="C33" s="111">
        <f>HLOOKUP(SUBSTITUTE(CONCATENATE(SUBSTITUTE(SUBSTITUTE(A33,"歳","")," ",""),"_女")," ",""),[10]データ貼り付けシート!$1:$2,2,FALSE)</f>
        <v>512</v>
      </c>
      <c r="D33" s="111">
        <f>HLOOKUP(SUBSTITUTE(CONCATENATE(SUBSTITUTE(SUBSTITUTE(A33,"歳","")," ",""),"_全体")," ",""),[10]データ貼り付けシート!$1:$2,2,FALSE)</f>
        <v>1031</v>
      </c>
      <c r="E33" s="109"/>
    </row>
    <row r="34" spans="1:5" x14ac:dyDescent="0.4">
      <c r="A34" s="110" t="s">
        <v>35</v>
      </c>
      <c r="B34" s="111">
        <f>HLOOKUP(SUBSTITUTE(CONCATENATE(SUBSTITUTE(SUBSTITUTE(A34,"歳","")," ",""),"_男")," ",""),[10]データ貼り付けシート!$1:$2,2,FALSE)</f>
        <v>608</v>
      </c>
      <c r="C34" s="111">
        <f>HLOOKUP(SUBSTITUTE(CONCATENATE(SUBSTITUTE(SUBSTITUTE(A34,"歳","")," ",""),"_女")," ",""),[10]データ貼り付けシート!$1:$2,2,FALSE)</f>
        <v>561</v>
      </c>
      <c r="D34" s="111">
        <f>HLOOKUP(SUBSTITUTE(CONCATENATE(SUBSTITUTE(SUBSTITUTE(A34,"歳","")," ",""),"_全体")," ",""),[10]データ貼り付けシート!$1:$2,2,FALSE)</f>
        <v>1169</v>
      </c>
      <c r="E34" s="109"/>
    </row>
    <row r="35" spans="1:5" x14ac:dyDescent="0.4">
      <c r="A35" s="110" t="s">
        <v>36</v>
      </c>
      <c r="B35" s="111">
        <f>HLOOKUP(SUBSTITUTE(CONCATENATE(SUBSTITUTE(SUBSTITUTE(A35,"歳","")," ",""),"_男")," ",""),[10]データ貼り付けシート!$1:$2,2,FALSE)</f>
        <v>511</v>
      </c>
      <c r="C35" s="111">
        <f>HLOOKUP(SUBSTITUTE(CONCATENATE(SUBSTITUTE(SUBSTITUTE(A35,"歳","")," ",""),"_女")," ",""),[10]データ貼り付けシート!$1:$2,2,FALSE)</f>
        <v>537</v>
      </c>
      <c r="D35" s="111">
        <f>HLOOKUP(SUBSTITUTE(CONCATENATE(SUBSTITUTE(SUBSTITUTE(A35,"歳","")," ",""),"_全体")," ",""),[10]データ貼り付けシート!$1:$2,2,FALSE)</f>
        <v>1048</v>
      </c>
      <c r="E35" s="109"/>
    </row>
    <row r="36" spans="1:5" x14ac:dyDescent="0.4">
      <c r="A36" s="110" t="s">
        <v>37</v>
      </c>
      <c r="B36" s="111">
        <f>HLOOKUP(SUBSTITUTE(CONCATENATE(SUBSTITUTE(SUBSTITUTE(A36,"歳","")," ",""),"_男")," ",""),[10]データ貼り付けシート!$1:$2,2,FALSE)</f>
        <v>528</v>
      </c>
      <c r="C36" s="111">
        <f>HLOOKUP(SUBSTITUTE(CONCATENATE(SUBSTITUTE(SUBSTITUTE(A36,"歳","")," ",""),"_女")," ",""),[10]データ貼り付けシート!$1:$2,2,FALSE)</f>
        <v>528</v>
      </c>
      <c r="D36" s="111">
        <f>HLOOKUP(SUBSTITUTE(CONCATENATE(SUBSTITUTE(SUBSTITUTE(A36,"歳","")," ",""),"_全体")," ",""),[10]データ貼り付けシート!$1:$2,2,FALSE)</f>
        <v>1056</v>
      </c>
      <c r="E36" s="109"/>
    </row>
    <row r="37" spans="1:5" x14ac:dyDescent="0.4">
      <c r="A37" s="110" t="s">
        <v>38</v>
      </c>
      <c r="B37" s="111">
        <f>HLOOKUP(SUBSTITUTE(CONCATENATE(SUBSTITUTE(SUBSTITUTE(A37,"歳","")," ",""),"_男")," ",""),[10]データ貼り付けシート!$1:$2,2,FALSE)</f>
        <v>578</v>
      </c>
      <c r="C37" s="111">
        <f>HLOOKUP(SUBSTITUTE(CONCATENATE(SUBSTITUTE(SUBSTITUTE(A37,"歳","")," ",""),"_女")," ",""),[10]データ貼り付けシート!$1:$2,2,FALSE)</f>
        <v>523</v>
      </c>
      <c r="D37" s="111">
        <f>HLOOKUP(SUBSTITUTE(CONCATENATE(SUBSTITUTE(SUBSTITUTE(A37,"歳","")," ",""),"_全体")," ",""),[10]データ貼り付けシート!$1:$2,2,FALSE)</f>
        <v>1101</v>
      </c>
      <c r="E37" s="109"/>
    </row>
    <row r="38" spans="1:5" x14ac:dyDescent="0.4">
      <c r="A38" s="110" t="s">
        <v>39</v>
      </c>
      <c r="B38" s="111">
        <f>HLOOKUP(SUBSTITUTE(CONCATENATE(SUBSTITUTE(SUBSTITUTE(A38,"歳","")," ",""),"_男")," ",""),[10]データ貼り付けシート!$1:$2,2,FALSE)</f>
        <v>589</v>
      </c>
      <c r="C38" s="111">
        <f>HLOOKUP(SUBSTITUTE(CONCATENATE(SUBSTITUTE(SUBSTITUTE(A38,"歳","")," ",""),"_女")," ",""),[10]データ貼り付けシート!$1:$2,2,FALSE)</f>
        <v>511</v>
      </c>
      <c r="D38" s="111">
        <f>HLOOKUP(SUBSTITUTE(CONCATENATE(SUBSTITUTE(SUBSTITUTE(A38,"歳","")," ",""),"_全体")," ",""),[10]データ貼り付けシート!$1:$2,2,FALSE)</f>
        <v>1100</v>
      </c>
      <c r="E38" s="109"/>
    </row>
    <row r="39" spans="1:5" x14ac:dyDescent="0.4">
      <c r="A39" s="110" t="s">
        <v>40</v>
      </c>
      <c r="B39" s="111">
        <f>HLOOKUP(SUBSTITUTE(CONCATENATE(SUBSTITUTE(SUBSTITUTE(A39,"歳","")," ",""),"_男")," ",""),[10]データ貼り付けシート!$1:$2,2,FALSE)</f>
        <v>578</v>
      </c>
      <c r="C39" s="111">
        <f>HLOOKUP(SUBSTITUTE(CONCATENATE(SUBSTITUTE(SUBSTITUTE(A39,"歳","")," ",""),"_女")," ",""),[10]データ貼り付けシート!$1:$2,2,FALSE)</f>
        <v>552</v>
      </c>
      <c r="D39" s="111">
        <f>HLOOKUP(SUBSTITUTE(CONCATENATE(SUBSTITUTE(SUBSTITUTE(A39,"歳","")," ",""),"_全体")," ",""),[10]データ貼り付けシート!$1:$2,2,FALSE)</f>
        <v>1130</v>
      </c>
      <c r="E39" s="109"/>
    </row>
    <row r="40" spans="1:5" x14ac:dyDescent="0.4">
      <c r="A40" s="110" t="s">
        <v>41</v>
      </c>
      <c r="B40" s="111">
        <f>HLOOKUP(SUBSTITUTE(CONCATENATE(SUBSTITUTE(SUBSTITUTE(A40,"歳","")," ",""),"_男")," ",""),[10]データ貼り付けシート!$1:$2,2,FALSE)</f>
        <v>574</v>
      </c>
      <c r="C40" s="111">
        <f>HLOOKUP(SUBSTITUTE(CONCATENATE(SUBSTITUTE(SUBSTITUTE(A40,"歳","")," ",""),"_女")," ",""),[10]データ貼り付けシート!$1:$2,2,FALSE)</f>
        <v>572</v>
      </c>
      <c r="D40" s="111">
        <f>HLOOKUP(SUBSTITUTE(CONCATENATE(SUBSTITUTE(SUBSTITUTE(A40,"歳","")," ",""),"_全体")," ",""),[10]データ貼り付けシート!$1:$2,2,FALSE)</f>
        <v>1146</v>
      </c>
      <c r="E40" s="109"/>
    </row>
    <row r="41" spans="1:5" x14ac:dyDescent="0.4">
      <c r="A41" s="110" t="s">
        <v>42</v>
      </c>
      <c r="B41" s="111">
        <f>HLOOKUP(SUBSTITUTE(CONCATENATE(SUBSTITUTE(SUBSTITUTE(A41,"歳","")," ",""),"_男")," ",""),[10]データ貼り付けシート!$1:$2,2,FALSE)</f>
        <v>571</v>
      </c>
      <c r="C41" s="111">
        <f>HLOOKUP(SUBSTITUTE(CONCATENATE(SUBSTITUTE(SUBSTITUTE(A41,"歳","")," ",""),"_女")," ",""),[10]データ貼り付けシート!$1:$2,2,FALSE)</f>
        <v>539</v>
      </c>
      <c r="D41" s="111">
        <f>HLOOKUP(SUBSTITUTE(CONCATENATE(SUBSTITUTE(SUBSTITUTE(A41,"歳","")," ",""),"_全体")," ",""),[10]データ貼り付けシート!$1:$2,2,FALSE)</f>
        <v>1110</v>
      </c>
      <c r="E41" s="109"/>
    </row>
    <row r="42" spans="1:5" x14ac:dyDescent="0.4">
      <c r="A42" s="110" t="s">
        <v>43</v>
      </c>
      <c r="B42" s="111">
        <f>HLOOKUP(SUBSTITUTE(CONCATENATE(SUBSTITUTE(SUBSTITUTE(A42,"歳","")," ",""),"_男")," ",""),[10]データ貼り付けシート!$1:$2,2,FALSE)</f>
        <v>583</v>
      </c>
      <c r="C42" s="111">
        <f>HLOOKUP(SUBSTITUTE(CONCATENATE(SUBSTITUTE(SUBSTITUTE(A42,"歳","")," ",""),"_女")," ",""),[10]データ貼り付けシート!$1:$2,2,FALSE)</f>
        <v>538</v>
      </c>
      <c r="D42" s="111">
        <f>HLOOKUP(SUBSTITUTE(CONCATENATE(SUBSTITUTE(SUBSTITUTE(A42,"歳","")," ",""),"_全体")," ",""),[10]データ貼り付けシート!$1:$2,2,FALSE)</f>
        <v>1121</v>
      </c>
      <c r="E42" s="109"/>
    </row>
    <row r="43" spans="1:5" x14ac:dyDescent="0.4">
      <c r="A43" s="110" t="s">
        <v>44</v>
      </c>
      <c r="B43" s="111">
        <f>HLOOKUP(SUBSTITUTE(CONCATENATE(SUBSTITUTE(SUBSTITUTE(A43,"歳","")," ",""),"_男")," ",""),[10]データ貼り付けシート!$1:$2,2,FALSE)</f>
        <v>561</v>
      </c>
      <c r="C43" s="111">
        <f>HLOOKUP(SUBSTITUTE(CONCATENATE(SUBSTITUTE(SUBSTITUTE(A43,"歳","")," ",""),"_女")," ",""),[10]データ貼り付けシート!$1:$2,2,FALSE)</f>
        <v>565</v>
      </c>
      <c r="D43" s="111">
        <f>HLOOKUP(SUBSTITUTE(CONCATENATE(SUBSTITUTE(SUBSTITUTE(A43,"歳","")," ",""),"_全体")," ",""),[10]データ貼り付けシート!$1:$2,2,FALSE)</f>
        <v>1126</v>
      </c>
      <c r="E43" s="109"/>
    </row>
    <row r="44" spans="1:5" x14ac:dyDescent="0.4">
      <c r="A44" s="110" t="s">
        <v>45</v>
      </c>
      <c r="B44" s="111">
        <f>HLOOKUP(SUBSTITUTE(CONCATENATE(SUBSTITUTE(SUBSTITUTE(A44,"歳","")," ",""),"_男")," ",""),[10]データ貼り付けシート!$1:$2,2,FALSE)</f>
        <v>614</v>
      </c>
      <c r="C44" s="111">
        <f>HLOOKUP(SUBSTITUTE(CONCATENATE(SUBSTITUTE(SUBSTITUTE(A44,"歳","")," ",""),"_女")," ",""),[10]データ貼り付けシート!$1:$2,2,FALSE)</f>
        <v>563</v>
      </c>
      <c r="D44" s="111">
        <f>HLOOKUP(SUBSTITUTE(CONCATENATE(SUBSTITUTE(SUBSTITUTE(A44,"歳","")," ",""),"_全体")," ",""),[10]データ貼り付けシート!$1:$2,2,FALSE)</f>
        <v>1177</v>
      </c>
      <c r="E44" s="109"/>
    </row>
    <row r="45" spans="1:5" x14ac:dyDescent="0.4">
      <c r="A45" s="110" t="s">
        <v>46</v>
      </c>
      <c r="B45" s="111">
        <f>HLOOKUP(SUBSTITUTE(CONCATENATE(SUBSTITUTE(SUBSTITUTE(A45,"歳","")," ",""),"_男")," ",""),[10]データ貼り付けシート!$1:$2,2,FALSE)</f>
        <v>619</v>
      </c>
      <c r="C45" s="111">
        <f>HLOOKUP(SUBSTITUTE(CONCATENATE(SUBSTITUTE(SUBSTITUTE(A45,"歳","")," ",""),"_女")," ",""),[10]データ貼り付けシート!$1:$2,2,FALSE)</f>
        <v>585</v>
      </c>
      <c r="D45" s="111">
        <f>HLOOKUP(SUBSTITUTE(CONCATENATE(SUBSTITUTE(SUBSTITUTE(A45,"歳","")," ",""),"_全体")," ",""),[10]データ貼り付けシート!$1:$2,2,FALSE)</f>
        <v>1204</v>
      </c>
      <c r="E45" s="109"/>
    </row>
    <row r="46" spans="1:5" x14ac:dyDescent="0.4">
      <c r="A46" s="110" t="s">
        <v>47</v>
      </c>
      <c r="B46" s="111">
        <f>HLOOKUP(SUBSTITUTE(CONCATENATE(SUBSTITUTE(SUBSTITUTE(A46,"歳","")," ",""),"_男")," ",""),[10]データ貼り付けシート!$1:$2,2,FALSE)</f>
        <v>708</v>
      </c>
      <c r="C46" s="111">
        <f>HLOOKUP(SUBSTITUTE(CONCATENATE(SUBSTITUTE(SUBSTITUTE(A46,"歳","")," ",""),"_女")," ",""),[10]データ貼り付けシート!$1:$2,2,FALSE)</f>
        <v>641</v>
      </c>
      <c r="D46" s="111">
        <f>HLOOKUP(SUBSTITUTE(CONCATENATE(SUBSTITUTE(SUBSTITUTE(A46,"歳","")," ",""),"_全体")," ",""),[10]データ貼り付けシート!$1:$2,2,FALSE)</f>
        <v>1349</v>
      </c>
      <c r="E46" s="109"/>
    </row>
    <row r="47" spans="1:5" x14ac:dyDescent="0.4">
      <c r="A47" s="110" t="s">
        <v>48</v>
      </c>
      <c r="B47" s="111">
        <f>HLOOKUP(SUBSTITUTE(CONCATENATE(SUBSTITUTE(SUBSTITUTE(A47,"歳","")," ",""),"_男")," ",""),[10]データ貼り付けシート!$1:$2,2,FALSE)</f>
        <v>703</v>
      </c>
      <c r="C47" s="111">
        <f>HLOOKUP(SUBSTITUTE(CONCATENATE(SUBSTITUTE(SUBSTITUTE(A47,"歳","")," ",""),"_女")," ",""),[10]データ貼り付けシート!$1:$2,2,FALSE)</f>
        <v>669</v>
      </c>
      <c r="D47" s="111">
        <f>HLOOKUP(SUBSTITUTE(CONCATENATE(SUBSTITUTE(SUBSTITUTE(A47,"歳","")," ",""),"_全体")," ",""),[10]データ貼り付けシート!$1:$2,2,FALSE)</f>
        <v>1372</v>
      </c>
      <c r="E47" s="109"/>
    </row>
    <row r="48" spans="1:5" x14ac:dyDescent="0.4">
      <c r="A48" s="110" t="s">
        <v>49</v>
      </c>
      <c r="B48" s="111">
        <f>HLOOKUP(SUBSTITUTE(CONCATENATE(SUBSTITUTE(SUBSTITUTE(A48,"歳","")," ",""),"_男")," ",""),[10]データ貼り付けシート!$1:$2,2,FALSE)</f>
        <v>811</v>
      </c>
      <c r="C48" s="111">
        <f>HLOOKUP(SUBSTITUTE(CONCATENATE(SUBSTITUTE(SUBSTITUTE(A48,"歳","")," ",""),"_女")," ",""),[10]データ貼り付けシート!$1:$2,2,FALSE)</f>
        <v>726</v>
      </c>
      <c r="D48" s="111">
        <f>HLOOKUP(SUBSTITUTE(CONCATENATE(SUBSTITUTE(SUBSTITUTE(A48,"歳","")," ",""),"_全体")," ",""),[10]データ貼り付けシート!$1:$2,2,FALSE)</f>
        <v>1537</v>
      </c>
      <c r="E48" s="109"/>
    </row>
    <row r="49" spans="1:5" x14ac:dyDescent="0.4">
      <c r="A49" s="110" t="s">
        <v>50</v>
      </c>
      <c r="B49" s="111">
        <f>HLOOKUP(SUBSTITUTE(CONCATENATE(SUBSTITUTE(SUBSTITUTE(A49,"歳","")," ",""),"_男")," ",""),[10]データ貼り付けシート!$1:$2,2,FALSE)</f>
        <v>879</v>
      </c>
      <c r="C49" s="111">
        <f>HLOOKUP(SUBSTITUTE(CONCATENATE(SUBSTITUTE(SUBSTITUTE(A49,"歳","")," ",""),"_女")," ",""),[10]データ貼り付けシート!$1:$2,2,FALSE)</f>
        <v>744</v>
      </c>
      <c r="D49" s="111">
        <f>HLOOKUP(SUBSTITUTE(CONCATENATE(SUBSTITUTE(SUBSTITUTE(A49,"歳","")," ",""),"_全体")," ",""),[10]データ貼り付けシート!$1:$2,2,FALSE)</f>
        <v>1623</v>
      </c>
      <c r="E49" s="109"/>
    </row>
    <row r="50" spans="1:5" x14ac:dyDescent="0.4">
      <c r="A50" s="110" t="s">
        <v>51</v>
      </c>
      <c r="B50" s="111">
        <f>HLOOKUP(SUBSTITUTE(CONCATENATE(SUBSTITUTE(SUBSTITUTE(A50,"歳","")," ",""),"_男")," ",""),[10]データ貼り付けシート!$1:$2,2,FALSE)</f>
        <v>827</v>
      </c>
      <c r="C50" s="111">
        <f>HLOOKUP(SUBSTITUTE(CONCATENATE(SUBSTITUTE(SUBSTITUTE(A50,"歳","")," ",""),"_女")," ",""),[10]データ貼り付けシート!$1:$2,2,FALSE)</f>
        <v>768</v>
      </c>
      <c r="D50" s="111">
        <f>HLOOKUP(SUBSTITUTE(CONCATENATE(SUBSTITUTE(SUBSTITUTE(A50,"歳","")," ",""),"_全体")," ",""),[10]データ貼り付けシート!$1:$2,2,FALSE)</f>
        <v>1595</v>
      </c>
      <c r="E50" s="109"/>
    </row>
    <row r="51" spans="1:5" x14ac:dyDescent="0.4">
      <c r="A51" s="110" t="s">
        <v>52</v>
      </c>
      <c r="B51" s="111">
        <f>HLOOKUP(SUBSTITUTE(CONCATENATE(SUBSTITUTE(SUBSTITUTE(A51,"歳","")," ",""),"_男")," ",""),[10]データ貼り付けシート!$1:$2,2,FALSE)</f>
        <v>790</v>
      </c>
      <c r="C51" s="111">
        <f>HLOOKUP(SUBSTITUTE(CONCATENATE(SUBSTITUTE(SUBSTITUTE(A51,"歳","")," ",""),"_女")," ",""),[10]データ貼り付けシート!$1:$2,2,FALSE)</f>
        <v>729</v>
      </c>
      <c r="D51" s="111">
        <f>HLOOKUP(SUBSTITUTE(CONCATENATE(SUBSTITUTE(SUBSTITUTE(A51,"歳","")," ",""),"_全体")," ",""),[10]データ貼り付けシート!$1:$2,2,FALSE)</f>
        <v>1519</v>
      </c>
      <c r="E51" s="109"/>
    </row>
    <row r="52" spans="1:5" x14ac:dyDescent="0.4">
      <c r="A52" s="110" t="s">
        <v>53</v>
      </c>
      <c r="B52" s="111">
        <f>HLOOKUP(SUBSTITUTE(CONCATENATE(SUBSTITUTE(SUBSTITUTE(A52,"歳","")," ",""),"_男")," ",""),[10]データ貼り付けシート!$1:$2,2,FALSE)</f>
        <v>744</v>
      </c>
      <c r="C52" s="111">
        <f>HLOOKUP(SUBSTITUTE(CONCATENATE(SUBSTITUTE(SUBSTITUTE(A52,"歳","")," ",""),"_女")," ",""),[10]データ貼り付けシート!$1:$2,2,FALSE)</f>
        <v>694</v>
      </c>
      <c r="D52" s="111">
        <f>HLOOKUP(SUBSTITUTE(CONCATENATE(SUBSTITUTE(SUBSTITUTE(A52,"歳","")," ",""),"_全体")," ",""),[10]データ貼り付けシート!$1:$2,2,FALSE)</f>
        <v>1438</v>
      </c>
      <c r="E52" s="109"/>
    </row>
    <row r="53" spans="1:5" x14ac:dyDescent="0.4">
      <c r="A53" s="110" t="s">
        <v>54</v>
      </c>
      <c r="B53" s="111">
        <f>HLOOKUP(SUBSTITUTE(CONCATENATE(SUBSTITUTE(SUBSTITUTE(A53,"歳","")," ",""),"_男")," ",""),[10]データ貼り付けシート!$1:$2,2,FALSE)</f>
        <v>731</v>
      </c>
      <c r="C53" s="111">
        <f>HLOOKUP(SUBSTITUTE(CONCATENATE(SUBSTITUTE(SUBSTITUTE(A53,"歳","")," ",""),"_女")," ",""),[10]データ貼り付けシート!$1:$2,2,FALSE)</f>
        <v>611</v>
      </c>
      <c r="D53" s="111">
        <f>HLOOKUP(SUBSTITUTE(CONCATENATE(SUBSTITUTE(SUBSTITUTE(A53,"歳","")," ",""),"_全体")," ",""),[10]データ貼り付けシート!$1:$2,2,FALSE)</f>
        <v>1342</v>
      </c>
      <c r="E53" s="109"/>
    </row>
    <row r="54" spans="1:5" x14ac:dyDescent="0.4">
      <c r="A54" s="110" t="s">
        <v>55</v>
      </c>
      <c r="B54" s="111">
        <f>HLOOKUP(SUBSTITUTE(CONCATENATE(SUBSTITUTE(SUBSTITUTE(A54,"歳","")," ",""),"_男")," ",""),[10]データ貼り付けシート!$1:$2,2,FALSE)</f>
        <v>659</v>
      </c>
      <c r="C54" s="111">
        <f>HLOOKUP(SUBSTITUTE(CONCATENATE(SUBSTITUTE(SUBSTITUTE(A54,"歳","")," ",""),"_女")," ",""),[10]データ貼り付けシート!$1:$2,2,FALSE)</f>
        <v>620</v>
      </c>
      <c r="D54" s="111">
        <f>HLOOKUP(SUBSTITUTE(CONCATENATE(SUBSTITUTE(SUBSTITUTE(A54,"歳","")," ",""),"_全体")," ",""),[10]データ貼り付けシート!$1:$2,2,FALSE)</f>
        <v>1279</v>
      </c>
      <c r="E54" s="109"/>
    </row>
    <row r="55" spans="1:5" x14ac:dyDescent="0.4">
      <c r="A55" s="110" t="s">
        <v>56</v>
      </c>
      <c r="B55" s="111">
        <f>HLOOKUP(SUBSTITUTE(CONCATENATE(SUBSTITUTE(SUBSTITUTE(A55,"歳","")," ",""),"_男")," ",""),[10]データ貼り付けシート!$1:$2,2,FALSE)</f>
        <v>680</v>
      </c>
      <c r="C55" s="111">
        <f>HLOOKUP(SUBSTITUTE(CONCATENATE(SUBSTITUTE(SUBSTITUTE(A55,"歳","")," ",""),"_女")," ",""),[10]データ貼り付けシート!$1:$2,2,FALSE)</f>
        <v>571</v>
      </c>
      <c r="D55" s="111">
        <f>HLOOKUP(SUBSTITUTE(CONCATENATE(SUBSTITUTE(SUBSTITUTE(A55,"歳","")," ",""),"_全体")," ",""),[10]データ貼り付けシート!$1:$2,2,FALSE)</f>
        <v>1251</v>
      </c>
      <c r="E55" s="109"/>
    </row>
    <row r="56" spans="1:5" x14ac:dyDescent="0.4">
      <c r="A56" s="110" t="s">
        <v>57</v>
      </c>
      <c r="B56" s="111">
        <f>HLOOKUP(SUBSTITUTE(CONCATENATE(SUBSTITUTE(SUBSTITUTE(A56,"歳","")," ",""),"_男")," ",""),[10]データ貼り付けシート!$1:$2,2,FALSE)</f>
        <v>523</v>
      </c>
      <c r="C56" s="111">
        <f>HLOOKUP(SUBSTITUTE(CONCATENATE(SUBSTITUTE(SUBSTITUTE(A56,"歳","")," ",""),"_女")," ",""),[10]データ貼り付けシート!$1:$2,2,FALSE)</f>
        <v>397</v>
      </c>
      <c r="D56" s="111">
        <f>HLOOKUP(SUBSTITUTE(CONCATENATE(SUBSTITUTE(SUBSTITUTE(A56,"歳","")," ",""),"_全体")," ",""),[10]データ貼り付けシート!$1:$2,2,FALSE)</f>
        <v>920</v>
      </c>
      <c r="E56" s="109"/>
    </row>
    <row r="57" spans="1:5" x14ac:dyDescent="0.4">
      <c r="A57" s="110" t="s">
        <v>58</v>
      </c>
      <c r="B57" s="111">
        <f>HLOOKUP(SUBSTITUTE(CONCATENATE(SUBSTITUTE(SUBSTITUTE(A57,"歳","")," ",""),"_男")," ",""),[10]データ貼り付けシート!$1:$2,2,FALSE)</f>
        <v>553</v>
      </c>
      <c r="C57" s="111">
        <f>HLOOKUP(SUBSTITUTE(CONCATENATE(SUBSTITUTE(SUBSTITUTE(A57,"歳","")," ",""),"_女")," ",""),[10]データ貼り付けシート!$1:$2,2,FALSE)</f>
        <v>566</v>
      </c>
      <c r="D57" s="111">
        <f>HLOOKUP(SUBSTITUTE(CONCATENATE(SUBSTITUTE(SUBSTITUTE(A57,"歳","")," ",""),"_全体")," ",""),[10]データ貼り付けシート!$1:$2,2,FALSE)</f>
        <v>1119</v>
      </c>
      <c r="E57" s="109"/>
    </row>
    <row r="58" spans="1:5" x14ac:dyDescent="0.4">
      <c r="A58" s="110" t="s">
        <v>59</v>
      </c>
      <c r="B58" s="111">
        <f>HLOOKUP(SUBSTITUTE(CONCATENATE(SUBSTITUTE(SUBSTITUTE(A58,"歳","")," ",""),"_男")," ",""),[10]データ貼り付けシート!$1:$2,2,FALSE)</f>
        <v>503</v>
      </c>
      <c r="C58" s="111">
        <f>HLOOKUP(SUBSTITUTE(CONCATENATE(SUBSTITUTE(SUBSTITUTE(A58,"歳","")," ",""),"_女")," ",""),[10]データ貼り付けシート!$1:$2,2,FALSE)</f>
        <v>483</v>
      </c>
      <c r="D58" s="111">
        <f>HLOOKUP(SUBSTITUTE(CONCATENATE(SUBSTITUTE(SUBSTITUTE(A58,"歳","")," ",""),"_全体")," ",""),[10]データ貼り付けシート!$1:$2,2,FALSE)</f>
        <v>986</v>
      </c>
      <c r="E58" s="109"/>
    </row>
    <row r="59" spans="1:5" x14ac:dyDescent="0.4">
      <c r="A59" s="110" t="s">
        <v>60</v>
      </c>
      <c r="B59" s="111">
        <f>HLOOKUP(SUBSTITUTE(CONCATENATE(SUBSTITUTE(SUBSTITUTE(A59,"歳","")," ",""),"_男")," ",""),[10]データ貼り付けシート!$1:$2,2,FALSE)</f>
        <v>493</v>
      </c>
      <c r="C59" s="111">
        <f>HLOOKUP(SUBSTITUTE(CONCATENATE(SUBSTITUTE(SUBSTITUTE(A59,"歳","")," ",""),"_女")," ",""),[10]データ貼り付けシート!$1:$2,2,FALSE)</f>
        <v>449</v>
      </c>
      <c r="D59" s="111">
        <f>HLOOKUP(SUBSTITUTE(CONCATENATE(SUBSTITUTE(SUBSTITUTE(A59,"歳","")," ",""),"_全体")," ",""),[10]データ貼り付けシート!$1:$2,2,FALSE)</f>
        <v>942</v>
      </c>
      <c r="E59" s="109"/>
    </row>
    <row r="60" spans="1:5" x14ac:dyDescent="0.4">
      <c r="A60" s="110" t="s">
        <v>61</v>
      </c>
      <c r="B60" s="111">
        <f>HLOOKUP(SUBSTITUTE(CONCATENATE(SUBSTITUTE(SUBSTITUTE(A60,"歳","")," ",""),"_男")," ",""),[10]データ貼り付けシート!$1:$2,2,FALSE)</f>
        <v>481</v>
      </c>
      <c r="C60" s="111">
        <f>HLOOKUP(SUBSTITUTE(CONCATENATE(SUBSTITUTE(SUBSTITUTE(A60,"歳","")," ",""),"_女")," ",""),[10]データ貼り付けシート!$1:$2,2,FALSE)</f>
        <v>428</v>
      </c>
      <c r="D60" s="111">
        <f>HLOOKUP(SUBSTITUTE(CONCATENATE(SUBSTITUTE(SUBSTITUTE(A60,"歳","")," ",""),"_全体")," ",""),[10]データ貼り付けシート!$1:$2,2,FALSE)</f>
        <v>909</v>
      </c>
      <c r="E60" s="109"/>
    </row>
    <row r="61" spans="1:5" x14ac:dyDescent="0.4">
      <c r="A61" s="110" t="s">
        <v>62</v>
      </c>
      <c r="B61" s="111">
        <f>HLOOKUP(SUBSTITUTE(CONCATENATE(SUBSTITUTE(SUBSTITUTE(A61,"歳","")," ",""),"_男")," ",""),[10]データ貼り付けシート!$1:$2,2,FALSE)</f>
        <v>437</v>
      </c>
      <c r="C61" s="111">
        <f>HLOOKUP(SUBSTITUTE(CONCATENATE(SUBSTITUTE(SUBSTITUTE(A61,"歳","")," ",""),"_女")," ",""),[10]データ貼り付けシート!$1:$2,2,FALSE)</f>
        <v>430</v>
      </c>
      <c r="D61" s="111">
        <f>HLOOKUP(SUBSTITUTE(CONCATENATE(SUBSTITUTE(SUBSTITUTE(A61,"歳","")," ",""),"_全体")," ",""),[10]データ貼り付けシート!$1:$2,2,FALSE)</f>
        <v>867</v>
      </c>
      <c r="E61" s="109"/>
    </row>
    <row r="62" spans="1:5" x14ac:dyDescent="0.4">
      <c r="A62" s="110" t="s">
        <v>63</v>
      </c>
      <c r="B62" s="111">
        <f>HLOOKUP(SUBSTITUTE(CONCATENATE(SUBSTITUTE(SUBSTITUTE(A62,"歳","")," ",""),"_男")," ",""),[10]データ貼り付けシート!$1:$2,2,FALSE)</f>
        <v>413</v>
      </c>
      <c r="C62" s="111">
        <f>HLOOKUP(SUBSTITUTE(CONCATENATE(SUBSTITUTE(SUBSTITUTE(A62,"歳","")," ",""),"_女")," ",""),[10]データ貼り付けシート!$1:$2,2,FALSE)</f>
        <v>383</v>
      </c>
      <c r="D62" s="111">
        <f>HLOOKUP(SUBSTITUTE(CONCATENATE(SUBSTITUTE(SUBSTITUTE(A62,"歳","")," ",""),"_全体")," ",""),[10]データ貼り付けシート!$1:$2,2,FALSE)</f>
        <v>796</v>
      </c>
      <c r="E62" s="109"/>
    </row>
    <row r="63" spans="1:5" x14ac:dyDescent="0.4">
      <c r="A63" s="110" t="s">
        <v>64</v>
      </c>
      <c r="B63" s="111">
        <f>HLOOKUP(SUBSTITUTE(CONCATENATE(SUBSTITUTE(SUBSTITUTE(A63,"歳","")," ",""),"_男")," ",""),[10]データ貼り付けシート!$1:$2,2,FALSE)</f>
        <v>418</v>
      </c>
      <c r="C63" s="111">
        <f>HLOOKUP(SUBSTITUTE(CONCATENATE(SUBSTITUTE(SUBSTITUTE(A63,"歳","")," ",""),"_女")," ",""),[10]データ貼り付けシート!$1:$2,2,FALSE)</f>
        <v>411</v>
      </c>
      <c r="D63" s="111">
        <f>HLOOKUP(SUBSTITUTE(CONCATENATE(SUBSTITUTE(SUBSTITUTE(A63,"歳","")," ",""),"_全体")," ",""),[10]データ貼り付けシート!$1:$2,2,FALSE)</f>
        <v>829</v>
      </c>
      <c r="E63" s="109"/>
    </row>
    <row r="64" spans="1:5" x14ac:dyDescent="0.4">
      <c r="A64" s="110" t="s">
        <v>65</v>
      </c>
      <c r="B64" s="111">
        <f>HLOOKUP(SUBSTITUTE(CONCATENATE(SUBSTITUTE(SUBSTITUTE(A64,"歳","")," ",""),"_男")," ",""),[10]データ貼り付けシート!$1:$2,2,FALSE)</f>
        <v>446</v>
      </c>
      <c r="C64" s="111">
        <f>HLOOKUP(SUBSTITUTE(CONCATENATE(SUBSTITUTE(SUBSTITUTE(A64,"歳","")," ",""),"_女")," ",""),[10]データ貼り付けシート!$1:$2,2,FALSE)</f>
        <v>413</v>
      </c>
      <c r="D64" s="111">
        <f>HLOOKUP(SUBSTITUTE(CONCATENATE(SUBSTITUTE(SUBSTITUTE(A64,"歳","")," ",""),"_全体")," ",""),[10]データ貼り付けシート!$1:$2,2,FALSE)</f>
        <v>859</v>
      </c>
      <c r="E64" s="109"/>
    </row>
    <row r="65" spans="1:5" x14ac:dyDescent="0.4">
      <c r="A65" s="110" t="s">
        <v>66</v>
      </c>
      <c r="B65" s="111">
        <f>HLOOKUP(SUBSTITUTE(CONCATENATE(SUBSTITUTE(SUBSTITUTE(A65,"歳","")," ",""),"_男")," ",""),[10]データ貼り付けシート!$1:$2,2,FALSE)</f>
        <v>375</v>
      </c>
      <c r="C65" s="111">
        <f>HLOOKUP(SUBSTITUTE(CONCATENATE(SUBSTITUTE(SUBSTITUTE(A65,"歳","")," ",""),"_女")," ",""),[10]データ貼り付けシート!$1:$2,2,FALSE)</f>
        <v>397</v>
      </c>
      <c r="D65" s="111">
        <f>HLOOKUP(SUBSTITUTE(CONCATENATE(SUBSTITUTE(SUBSTITUTE(A65,"歳","")," ",""),"_全体")," ",""),[10]データ貼り付けシート!$1:$2,2,FALSE)</f>
        <v>772</v>
      </c>
      <c r="E65" s="109"/>
    </row>
    <row r="66" spans="1:5" x14ac:dyDescent="0.4">
      <c r="A66" s="110" t="s">
        <v>67</v>
      </c>
      <c r="B66" s="111">
        <f>HLOOKUP(SUBSTITUTE(CONCATENATE(SUBSTITUTE(SUBSTITUTE(A66,"歳","")," ",""),"_男")," ",""),[10]データ貼り付けシート!$1:$2,2,FALSE)</f>
        <v>414</v>
      </c>
      <c r="C66" s="111">
        <f>HLOOKUP(SUBSTITUTE(CONCATENATE(SUBSTITUTE(SUBSTITUTE(A66,"歳","")," ",""),"_女")," ",""),[10]データ貼り付けシート!$1:$2,2,FALSE)</f>
        <v>415</v>
      </c>
      <c r="D66" s="111">
        <f>HLOOKUP(SUBSTITUTE(CONCATENATE(SUBSTITUTE(SUBSTITUTE(A66,"歳","")," ",""),"_全体")," ",""),[10]データ貼り付けシート!$1:$2,2,FALSE)</f>
        <v>829</v>
      </c>
      <c r="E66" s="109"/>
    </row>
    <row r="67" spans="1:5" x14ac:dyDescent="0.4">
      <c r="A67" s="110" t="s">
        <v>68</v>
      </c>
      <c r="B67" s="111">
        <f>HLOOKUP(SUBSTITUTE(CONCATENATE(SUBSTITUTE(SUBSTITUTE(A67,"歳","")," ",""),"_男")," ",""),[10]データ貼り付けシート!$1:$2,2,FALSE)</f>
        <v>435</v>
      </c>
      <c r="C67" s="111">
        <f>HLOOKUP(SUBSTITUTE(CONCATENATE(SUBSTITUTE(SUBSTITUTE(A67,"歳","")," ",""),"_女")," ",""),[10]データ貼り付けシート!$1:$2,2,FALSE)</f>
        <v>423</v>
      </c>
      <c r="D67" s="111">
        <f>HLOOKUP(SUBSTITUTE(CONCATENATE(SUBSTITUTE(SUBSTITUTE(A67,"歳","")," ",""),"_全体")," ",""),[10]データ貼り付けシート!$1:$2,2,FALSE)</f>
        <v>858</v>
      </c>
      <c r="E67" s="109"/>
    </row>
    <row r="68" spans="1:5" x14ac:dyDescent="0.4">
      <c r="A68" s="110" t="s">
        <v>69</v>
      </c>
      <c r="B68" s="111">
        <f>HLOOKUP(SUBSTITUTE(CONCATENATE(SUBSTITUTE(SUBSTITUTE(A68,"歳","")," ",""),"_男")," ",""),[10]データ貼り付けシート!$1:$2,2,FALSE)</f>
        <v>407</v>
      </c>
      <c r="C68" s="111">
        <f>HLOOKUP(SUBSTITUTE(CONCATENATE(SUBSTITUTE(SUBSTITUTE(A68,"歳","")," ",""),"_女")," ",""),[10]データ貼り付けシート!$1:$2,2,FALSE)</f>
        <v>455</v>
      </c>
      <c r="D68" s="111">
        <f>HLOOKUP(SUBSTITUTE(CONCATENATE(SUBSTITUTE(SUBSTITUTE(A68,"歳","")," ",""),"_全体")," ",""),[10]データ貼り付けシート!$1:$2,2,FALSE)</f>
        <v>862</v>
      </c>
      <c r="E68" s="109"/>
    </row>
    <row r="69" spans="1:5" x14ac:dyDescent="0.4">
      <c r="A69" s="110" t="s">
        <v>70</v>
      </c>
      <c r="B69" s="111">
        <f>HLOOKUP(SUBSTITUTE(CONCATENATE(SUBSTITUTE(SUBSTITUTE(A69,"歳","")," ",""),"_男")," ",""),[10]データ貼り付けシート!$1:$2,2,FALSE)</f>
        <v>444</v>
      </c>
      <c r="C69" s="111">
        <f>HLOOKUP(SUBSTITUTE(CONCATENATE(SUBSTITUTE(SUBSTITUTE(A69,"歳","")," ",""),"_女")," ",""),[10]データ貼り付けシート!$1:$2,2,FALSE)</f>
        <v>502</v>
      </c>
      <c r="D69" s="111">
        <f>HLOOKUP(SUBSTITUTE(CONCATENATE(SUBSTITUTE(SUBSTITUTE(A69,"歳","")," ",""),"_全体")," ",""),[10]データ貼り付けシート!$1:$2,2,FALSE)</f>
        <v>946</v>
      </c>
      <c r="E69" s="109"/>
    </row>
    <row r="70" spans="1:5" x14ac:dyDescent="0.4">
      <c r="A70" s="110" t="s">
        <v>71</v>
      </c>
      <c r="B70" s="111">
        <f>HLOOKUP(SUBSTITUTE(CONCATENATE(SUBSTITUTE(SUBSTITUTE(A70,"歳","")," ",""),"_男")," ",""),[10]データ貼り付けシート!$1:$2,2,FALSE)</f>
        <v>466</v>
      </c>
      <c r="C70" s="111">
        <f>HLOOKUP(SUBSTITUTE(CONCATENATE(SUBSTITUTE(SUBSTITUTE(A70,"歳","")," ",""),"_女")," ",""),[10]データ貼り付けシート!$1:$2,2,FALSE)</f>
        <v>549</v>
      </c>
      <c r="D70" s="111">
        <f>HLOOKUP(SUBSTITUTE(CONCATENATE(SUBSTITUTE(SUBSTITUTE(A70,"歳","")," ",""),"_全体")," ",""),[10]データ貼り付けシート!$1:$2,2,FALSE)</f>
        <v>1015</v>
      </c>
      <c r="E70" s="109"/>
    </row>
    <row r="71" spans="1:5" x14ac:dyDescent="0.4">
      <c r="A71" s="110" t="s">
        <v>72</v>
      </c>
      <c r="B71" s="111">
        <f>HLOOKUP(SUBSTITUTE(CONCATENATE(SUBSTITUTE(SUBSTITUTE(A71,"歳","")," ",""),"_男")," ",""),[10]データ貼り付けシート!$1:$2,2,FALSE)</f>
        <v>537</v>
      </c>
      <c r="C71" s="111">
        <f>HLOOKUP(SUBSTITUTE(CONCATENATE(SUBSTITUTE(SUBSTITUTE(A71,"歳","")," ",""),"_女")," ",""),[10]データ貼り付けシート!$1:$2,2,FALSE)</f>
        <v>571</v>
      </c>
      <c r="D71" s="111">
        <f>HLOOKUP(SUBSTITUTE(CONCATENATE(SUBSTITUTE(SUBSTITUTE(A71,"歳","")," ",""),"_全体")," ",""),[10]データ貼り付けシート!$1:$2,2,FALSE)</f>
        <v>1108</v>
      </c>
      <c r="E71" s="109"/>
    </row>
    <row r="72" spans="1:5" x14ac:dyDescent="0.4">
      <c r="A72" s="110" t="s">
        <v>73</v>
      </c>
      <c r="B72" s="111">
        <f>HLOOKUP(SUBSTITUTE(CONCATENATE(SUBSTITUTE(SUBSTITUTE(A72,"歳","")," ",""),"_男")," ",""),[10]データ貼り付けシート!$1:$2,2,FALSE)</f>
        <v>573</v>
      </c>
      <c r="C72" s="111">
        <f>HLOOKUP(SUBSTITUTE(CONCATENATE(SUBSTITUTE(SUBSTITUTE(A72,"歳","")," ",""),"_女")," ",""),[10]データ貼り付けシート!$1:$2,2,FALSE)</f>
        <v>645</v>
      </c>
      <c r="D72" s="111">
        <f>HLOOKUP(SUBSTITUTE(CONCATENATE(SUBSTITUTE(SUBSTITUTE(A72,"歳","")," ",""),"_全体")," ",""),[10]データ貼り付けシート!$1:$2,2,FALSE)</f>
        <v>1218</v>
      </c>
      <c r="E72" s="109"/>
    </row>
    <row r="73" spans="1:5" x14ac:dyDescent="0.4">
      <c r="A73" s="110" t="s">
        <v>74</v>
      </c>
      <c r="B73" s="111">
        <f>HLOOKUP(SUBSTITUTE(CONCATENATE(SUBSTITUTE(SUBSTITUTE(A73,"歳","")," ",""),"_男")," ",""),[10]データ貼り付けシート!$1:$2,2,FALSE)</f>
        <v>666</v>
      </c>
      <c r="C73" s="111">
        <f>HLOOKUP(SUBSTITUTE(CONCATENATE(SUBSTITUTE(SUBSTITUTE(A73,"歳","")," ",""),"_女")," ",""),[10]データ貼り付けシート!$1:$2,2,FALSE)</f>
        <v>784</v>
      </c>
      <c r="D73" s="111">
        <f>HLOOKUP(SUBSTITUTE(CONCATENATE(SUBSTITUTE(SUBSTITUTE(A73,"歳","")," ",""),"_全体")," ",""),[10]データ貼り付けシート!$1:$2,2,FALSE)</f>
        <v>1450</v>
      </c>
      <c r="E73" s="109"/>
    </row>
    <row r="74" spans="1:5" x14ac:dyDescent="0.4">
      <c r="A74" s="110" t="s">
        <v>75</v>
      </c>
      <c r="B74" s="111">
        <f>HLOOKUP(SUBSTITUTE(CONCATENATE(SUBSTITUTE(SUBSTITUTE(A74,"歳","")," ",""),"_男")," ",""),[10]データ貼り付けシート!$1:$2,2,FALSE)</f>
        <v>647</v>
      </c>
      <c r="C74" s="111">
        <f>HLOOKUP(SUBSTITUTE(CONCATENATE(SUBSTITUTE(SUBSTITUTE(A74,"歳","")," ",""),"_女")," ",""),[10]データ貼り付けシート!$1:$2,2,FALSE)</f>
        <v>761</v>
      </c>
      <c r="D74" s="111">
        <f>HLOOKUP(SUBSTITUTE(CONCATENATE(SUBSTITUTE(SUBSTITUTE(A74,"歳","")," ",""),"_全体")," ",""),[10]データ貼り付けシート!$1:$2,2,FALSE)</f>
        <v>1408</v>
      </c>
      <c r="E74" s="109"/>
    </row>
    <row r="75" spans="1:5" x14ac:dyDescent="0.4">
      <c r="A75" s="110" t="s">
        <v>76</v>
      </c>
      <c r="B75" s="111">
        <f>HLOOKUP(SUBSTITUTE(CONCATENATE(SUBSTITUTE(SUBSTITUTE(A75,"歳","")," ",""),"_男")," ",""),[10]データ貼り付けシート!$1:$2,2,FALSE)</f>
        <v>679</v>
      </c>
      <c r="C75" s="111">
        <f>HLOOKUP(SUBSTITUTE(CONCATENATE(SUBSTITUTE(SUBSTITUTE(A75,"歳","")," ",""),"_女")," ",""),[10]データ貼り付けシート!$1:$2,2,FALSE)</f>
        <v>742</v>
      </c>
      <c r="D75" s="111">
        <f>HLOOKUP(SUBSTITUTE(CONCATENATE(SUBSTITUTE(SUBSTITUTE(A75,"歳","")," ",""),"_全体")," ",""),[10]データ貼り付けシート!$1:$2,2,FALSE)</f>
        <v>1421</v>
      </c>
      <c r="E75" s="109"/>
    </row>
    <row r="76" spans="1:5" x14ac:dyDescent="0.4">
      <c r="A76" s="110" t="s">
        <v>77</v>
      </c>
      <c r="B76" s="111">
        <f>HLOOKUP(SUBSTITUTE(CONCATENATE(SUBSTITUTE(SUBSTITUTE(A76,"歳","")," ",""),"_男")," ",""),[10]データ貼り付けシート!$1:$2,2,FALSE)</f>
        <v>373</v>
      </c>
      <c r="C76" s="111">
        <f>HLOOKUP(SUBSTITUTE(CONCATENATE(SUBSTITUTE(SUBSTITUTE(A76,"歳","")," ",""),"_女")," ",""),[10]データ貼り付けシート!$1:$2,2,FALSE)</f>
        <v>460</v>
      </c>
      <c r="D76" s="111">
        <f>HLOOKUP(SUBSTITUTE(CONCATENATE(SUBSTITUTE(SUBSTITUTE(A76,"歳","")," ",""),"_全体")," ",""),[10]データ貼り付けシート!$1:$2,2,FALSE)</f>
        <v>833</v>
      </c>
      <c r="E76" s="109"/>
    </row>
    <row r="77" spans="1:5" x14ac:dyDescent="0.4">
      <c r="A77" s="110" t="s">
        <v>78</v>
      </c>
      <c r="B77" s="111">
        <f>HLOOKUP(SUBSTITUTE(CONCATENATE(SUBSTITUTE(SUBSTITUTE(A77,"歳","")," ",""),"_男")," ",""),[10]データ貼り付けシート!$1:$2,2,FALSE)</f>
        <v>408</v>
      </c>
      <c r="C77" s="111">
        <f>HLOOKUP(SUBSTITUTE(CONCATENATE(SUBSTITUTE(SUBSTITUTE(A77,"歳","")," ",""),"_女")," ",""),[10]データ貼り付けシート!$1:$2,2,FALSE)</f>
        <v>505</v>
      </c>
      <c r="D77" s="111">
        <f>HLOOKUP(SUBSTITUTE(CONCATENATE(SUBSTITUTE(SUBSTITUTE(A77,"歳","")," ",""),"_全体")," ",""),[10]データ貼り付けシート!$1:$2,2,FALSE)</f>
        <v>913</v>
      </c>
      <c r="E77" s="109"/>
    </row>
    <row r="78" spans="1:5" x14ac:dyDescent="0.4">
      <c r="A78" s="110" t="s">
        <v>79</v>
      </c>
      <c r="B78" s="111">
        <f>HLOOKUP(SUBSTITUTE(CONCATENATE(SUBSTITUTE(SUBSTITUTE(A78,"歳","")," ",""),"_男")," ",""),[10]データ貼り付けシート!$1:$2,2,FALSE)</f>
        <v>516</v>
      </c>
      <c r="C78" s="111">
        <f>HLOOKUP(SUBSTITUTE(CONCATENATE(SUBSTITUTE(SUBSTITUTE(A78,"歳","")," ",""),"_女")," ",""),[10]データ貼り付けシート!$1:$2,2,FALSE)</f>
        <v>600</v>
      </c>
      <c r="D78" s="111">
        <f>HLOOKUP(SUBSTITUTE(CONCATENATE(SUBSTITUTE(SUBSTITUTE(A78,"歳","")," ",""),"_全体")," ",""),[10]データ貼り付けシート!$1:$2,2,FALSE)</f>
        <v>1116</v>
      </c>
      <c r="E78" s="109"/>
    </row>
    <row r="79" spans="1:5" x14ac:dyDescent="0.4">
      <c r="A79" s="110" t="s">
        <v>80</v>
      </c>
      <c r="B79" s="111">
        <f>HLOOKUP(SUBSTITUTE(CONCATENATE(SUBSTITUTE(SUBSTITUTE(A79,"歳","")," ",""),"_男")," ",""),[10]データ貼り付けシート!$1:$2,2,FALSE)</f>
        <v>490</v>
      </c>
      <c r="C79" s="111">
        <f>HLOOKUP(SUBSTITUTE(CONCATENATE(SUBSTITUTE(SUBSTITUTE(A79,"歳","")," ",""),"_女")," ",""),[10]データ貼り付けシート!$1:$2,2,FALSE)</f>
        <v>644</v>
      </c>
      <c r="D79" s="111">
        <f>HLOOKUP(SUBSTITUTE(CONCATENATE(SUBSTITUTE(SUBSTITUTE(A79,"歳","")," ",""),"_全体")," ",""),[10]データ貼り付けシート!$1:$2,2,FALSE)</f>
        <v>1134</v>
      </c>
      <c r="E79" s="109"/>
    </row>
    <row r="80" spans="1:5" x14ac:dyDescent="0.4">
      <c r="A80" s="110" t="s">
        <v>81</v>
      </c>
      <c r="B80" s="111">
        <f>HLOOKUP(SUBSTITUTE(CONCATENATE(SUBSTITUTE(SUBSTITUTE(A80,"歳","")," ",""),"_男")," ",""),[10]データ貼り付けシート!$1:$2,2,FALSE)</f>
        <v>497</v>
      </c>
      <c r="C80" s="111">
        <f>HLOOKUP(SUBSTITUTE(CONCATENATE(SUBSTITUTE(SUBSTITUTE(A80,"歳","")," ",""),"_女")," ",""),[10]データ貼り付けシート!$1:$2,2,FALSE)</f>
        <v>627</v>
      </c>
      <c r="D80" s="111">
        <f>HLOOKUP(SUBSTITUTE(CONCATENATE(SUBSTITUTE(SUBSTITUTE(A80,"歳","")," ",""),"_全体")," ",""),[10]データ貼り付けシート!$1:$2,2,FALSE)</f>
        <v>1124</v>
      </c>
      <c r="E80" s="109"/>
    </row>
    <row r="81" spans="1:5" x14ac:dyDescent="0.4">
      <c r="A81" s="110" t="s">
        <v>82</v>
      </c>
      <c r="B81" s="111">
        <f>HLOOKUP(SUBSTITUTE(CONCATENATE(SUBSTITUTE(SUBSTITUTE(A81,"歳","")," ",""),"_男")," ",""),[10]データ貼り付けシート!$1:$2,2,FALSE)</f>
        <v>488</v>
      </c>
      <c r="C81" s="111">
        <f>HLOOKUP(SUBSTITUTE(CONCATENATE(SUBSTITUTE(SUBSTITUTE(A81,"歳","")," ",""),"_女")," ",""),[10]データ貼り付けシート!$1:$2,2,FALSE)</f>
        <v>582</v>
      </c>
      <c r="D81" s="111">
        <f>HLOOKUP(SUBSTITUTE(CONCATENATE(SUBSTITUTE(SUBSTITUTE(A81,"歳","")," ",""),"_全体")," ",""),[10]データ貼り付けシート!$1:$2,2,FALSE)</f>
        <v>1070</v>
      </c>
      <c r="E81" s="109"/>
    </row>
    <row r="82" spans="1:5" x14ac:dyDescent="0.4">
      <c r="A82" s="110" t="s">
        <v>83</v>
      </c>
      <c r="B82" s="111">
        <f>HLOOKUP(SUBSTITUTE(CONCATENATE(SUBSTITUTE(SUBSTITUTE(A82,"歳","")," ",""),"_男")," ",""),[10]データ貼り付けシート!$1:$2,2,FALSE)</f>
        <v>404</v>
      </c>
      <c r="C82" s="111">
        <f>HLOOKUP(SUBSTITUTE(CONCATENATE(SUBSTITUTE(SUBSTITUTE(A82,"歳","")," ",""),"_女")," ",""),[10]データ貼り付けシート!$1:$2,2,FALSE)</f>
        <v>503</v>
      </c>
      <c r="D82" s="111">
        <f>HLOOKUP(SUBSTITUTE(CONCATENATE(SUBSTITUTE(SUBSTITUTE(A82,"歳","")," ",""),"_全体")," ",""),[10]データ貼り付けシート!$1:$2,2,FALSE)</f>
        <v>907</v>
      </c>
      <c r="E82" s="109"/>
    </row>
    <row r="83" spans="1:5" x14ac:dyDescent="0.4">
      <c r="A83" s="110" t="s">
        <v>84</v>
      </c>
      <c r="B83" s="111">
        <f>HLOOKUP(SUBSTITUTE(CONCATENATE(SUBSTITUTE(SUBSTITUTE(A83,"歳","")," ",""),"_男")," ",""),[10]データ貼り付けシート!$1:$2,2,FALSE)</f>
        <v>344</v>
      </c>
      <c r="C83" s="111">
        <f>HLOOKUP(SUBSTITUTE(CONCATENATE(SUBSTITUTE(SUBSTITUTE(A83,"歳","")," ",""),"_女")," ",""),[10]データ貼り付けシート!$1:$2,2,FALSE)</f>
        <v>374</v>
      </c>
      <c r="D83" s="111">
        <f>HLOOKUP(SUBSTITUTE(CONCATENATE(SUBSTITUTE(SUBSTITUTE(A83,"歳","")," ",""),"_全体")," ",""),[10]データ貼り付けシート!$1:$2,2,FALSE)</f>
        <v>718</v>
      </c>
      <c r="E83" s="109"/>
    </row>
    <row r="84" spans="1:5" x14ac:dyDescent="0.4">
      <c r="A84" s="110" t="s">
        <v>85</v>
      </c>
      <c r="B84" s="111">
        <f>HLOOKUP(SUBSTITUTE(CONCATENATE(SUBSTITUTE(SUBSTITUTE(A84,"歳","")," ",""),"_男")," ",""),[10]データ貼り付けシート!$1:$2,2,FALSE)</f>
        <v>303</v>
      </c>
      <c r="C84" s="111">
        <f>HLOOKUP(SUBSTITUTE(CONCATENATE(SUBSTITUTE(SUBSTITUTE(A84,"歳","")," ",""),"_女")," ",""),[10]データ貼り付けシート!$1:$2,2,FALSE)</f>
        <v>393</v>
      </c>
      <c r="D84" s="111">
        <f>HLOOKUP(SUBSTITUTE(CONCATENATE(SUBSTITUTE(SUBSTITUTE(A84,"歳","")," ",""),"_全体")," ",""),[10]データ貼り付けシート!$1:$2,2,FALSE)</f>
        <v>696</v>
      </c>
      <c r="E84" s="109"/>
    </row>
    <row r="85" spans="1:5" x14ac:dyDescent="0.4">
      <c r="A85" s="110" t="s">
        <v>86</v>
      </c>
      <c r="B85" s="111">
        <f>HLOOKUP(SUBSTITUTE(CONCATENATE(SUBSTITUTE(SUBSTITUTE(A85,"歳","")," ",""),"_男")," ",""),[10]データ貼り付けシート!$1:$2,2,FALSE)</f>
        <v>288</v>
      </c>
      <c r="C85" s="111">
        <f>HLOOKUP(SUBSTITUTE(CONCATENATE(SUBSTITUTE(SUBSTITUTE(A85,"歳","")," ",""),"_女")," ",""),[10]データ貼り付けシート!$1:$2,2,FALSE)</f>
        <v>347</v>
      </c>
      <c r="D85" s="111">
        <f>HLOOKUP(SUBSTITUTE(CONCATENATE(SUBSTITUTE(SUBSTITUTE(A85,"歳","")," ",""),"_全体")," ",""),[10]データ貼り付けシート!$1:$2,2,FALSE)</f>
        <v>635</v>
      </c>
      <c r="E85" s="109"/>
    </row>
    <row r="86" spans="1:5" x14ac:dyDescent="0.4">
      <c r="A86" s="110" t="s">
        <v>87</v>
      </c>
      <c r="B86" s="111">
        <f>HLOOKUP(SUBSTITUTE(CONCATENATE(SUBSTITUTE(SUBSTITUTE(A86,"歳","")," ",""),"_男")," ",""),[10]データ貼り付けシート!$1:$2,2,FALSE)</f>
        <v>287</v>
      </c>
      <c r="C86" s="111">
        <f>HLOOKUP(SUBSTITUTE(CONCATENATE(SUBSTITUTE(SUBSTITUTE(A86,"歳","")," ",""),"_女")," ",""),[10]データ貼り付けシート!$1:$2,2,FALSE)</f>
        <v>312</v>
      </c>
      <c r="D86" s="111">
        <f>HLOOKUP(SUBSTITUTE(CONCATENATE(SUBSTITUTE(SUBSTITUTE(A86,"歳","")," ",""),"_全体")," ",""),[10]データ貼り付けシート!$1:$2,2,FALSE)</f>
        <v>599</v>
      </c>
      <c r="E86" s="109"/>
    </row>
    <row r="87" spans="1:5" x14ac:dyDescent="0.4">
      <c r="A87" s="110" t="s">
        <v>88</v>
      </c>
      <c r="B87" s="111">
        <f>HLOOKUP(SUBSTITUTE(CONCATENATE(SUBSTITUTE(SUBSTITUTE(A87,"歳","")," ",""),"_男")," ",""),[10]データ貼り付けシート!$1:$2,2,FALSE)</f>
        <v>211</v>
      </c>
      <c r="C87" s="111">
        <f>HLOOKUP(SUBSTITUTE(CONCATENATE(SUBSTITUTE(SUBSTITUTE(A87,"歳","")," ",""),"_女")," ",""),[10]データ貼り付けシート!$1:$2,2,FALSE)</f>
        <v>306</v>
      </c>
      <c r="D87" s="111">
        <f>HLOOKUP(SUBSTITUTE(CONCATENATE(SUBSTITUTE(SUBSTITUTE(A87,"歳","")," ",""),"_全体")," ",""),[10]データ貼り付けシート!$1:$2,2,FALSE)</f>
        <v>517</v>
      </c>
      <c r="E87" s="109"/>
    </row>
    <row r="88" spans="1:5" x14ac:dyDescent="0.4">
      <c r="A88" s="110" t="s">
        <v>89</v>
      </c>
      <c r="B88" s="111">
        <f>HLOOKUP(SUBSTITUTE(CONCATENATE(SUBSTITUTE(SUBSTITUTE(A88,"歳","")," ",""),"_男")," ",""),[10]データ貼り付けシート!$1:$2,2,FALSE)</f>
        <v>146</v>
      </c>
      <c r="C88" s="111">
        <f>HLOOKUP(SUBSTITUTE(CONCATENATE(SUBSTITUTE(SUBSTITUTE(A88,"歳","")," ",""),"_女")," ",""),[10]データ貼り付けシート!$1:$2,2,FALSE)</f>
        <v>265</v>
      </c>
      <c r="D88" s="111">
        <f>HLOOKUP(SUBSTITUTE(CONCATENATE(SUBSTITUTE(SUBSTITUTE(A88,"歳","")," ",""),"_全体")," ",""),[10]データ貼り付けシート!$1:$2,2,FALSE)</f>
        <v>411</v>
      </c>
      <c r="E88" s="109"/>
    </row>
    <row r="89" spans="1:5" x14ac:dyDescent="0.4">
      <c r="A89" s="110" t="s">
        <v>90</v>
      </c>
      <c r="B89" s="111">
        <f>HLOOKUP(SUBSTITUTE(CONCATENATE(SUBSTITUTE(SUBSTITUTE(A89,"歳","")," ",""),"_男")," ",""),[10]データ貼り付けシート!$1:$2,2,FALSE)</f>
        <v>132</v>
      </c>
      <c r="C89" s="111">
        <f>HLOOKUP(SUBSTITUTE(CONCATENATE(SUBSTITUTE(SUBSTITUTE(A89,"歳","")," ",""),"_女")," ",""),[10]データ貼り付けシート!$1:$2,2,FALSE)</f>
        <v>250</v>
      </c>
      <c r="D89" s="111">
        <f>HLOOKUP(SUBSTITUTE(CONCATENATE(SUBSTITUTE(SUBSTITUTE(A89,"歳","")," ",""),"_全体")," ",""),[10]データ貼り付けシート!$1:$2,2,FALSE)</f>
        <v>382</v>
      </c>
      <c r="E89" s="109"/>
    </row>
    <row r="90" spans="1:5" x14ac:dyDescent="0.4">
      <c r="A90" s="110" t="s">
        <v>91</v>
      </c>
      <c r="B90" s="111">
        <f>HLOOKUP(SUBSTITUTE(CONCATENATE(SUBSTITUTE(SUBSTITUTE(A90,"歳","")," ",""),"_男")," ",""),[10]データ貼り付けシート!$1:$2,2,FALSE)</f>
        <v>134</v>
      </c>
      <c r="C90" s="111">
        <f>HLOOKUP(SUBSTITUTE(CONCATENATE(SUBSTITUTE(SUBSTITUTE(A90,"歳","")," ",""),"_女")," ",""),[10]データ貼り付けシート!$1:$2,2,FALSE)</f>
        <v>194</v>
      </c>
      <c r="D90" s="111">
        <f>HLOOKUP(SUBSTITUTE(CONCATENATE(SUBSTITUTE(SUBSTITUTE(A90,"歳","")," ",""),"_全体")," ",""),[10]データ貼り付けシート!$1:$2,2,FALSE)</f>
        <v>328</v>
      </c>
      <c r="E90" s="109"/>
    </row>
    <row r="91" spans="1:5" x14ac:dyDescent="0.4">
      <c r="A91" s="110" t="s">
        <v>92</v>
      </c>
      <c r="B91" s="111">
        <f>HLOOKUP(SUBSTITUTE(CONCATENATE(SUBSTITUTE(SUBSTITUTE(A91,"歳","")," ",""),"_男")," ",""),[10]データ貼り付けシート!$1:$2,2,FALSE)</f>
        <v>91</v>
      </c>
      <c r="C91" s="111">
        <f>HLOOKUP(SUBSTITUTE(CONCATENATE(SUBSTITUTE(SUBSTITUTE(A91,"歳","")," ",""),"_女")," ",""),[10]データ貼り付けシート!$1:$2,2,FALSE)</f>
        <v>169</v>
      </c>
      <c r="D91" s="111">
        <f>HLOOKUP(SUBSTITUTE(CONCATENATE(SUBSTITUTE(SUBSTITUTE(A91,"歳","")," ",""),"_全体")," ",""),[10]データ貼り付けシート!$1:$2,2,FALSE)</f>
        <v>260</v>
      </c>
      <c r="E91" s="109"/>
    </row>
    <row r="92" spans="1:5" x14ac:dyDescent="0.4">
      <c r="A92" s="110" t="s">
        <v>93</v>
      </c>
      <c r="B92" s="111">
        <f>HLOOKUP(SUBSTITUTE(CONCATENATE(SUBSTITUTE(SUBSTITUTE(A92,"歳","")," ",""),"_男")," ",""),[10]データ貼り付けシート!$1:$2,2,FALSE)</f>
        <v>58</v>
      </c>
      <c r="C92" s="111">
        <f>HLOOKUP(SUBSTITUTE(CONCATENATE(SUBSTITUTE(SUBSTITUTE(A92,"歳","")," ",""),"_女")," ",""),[10]データ貼り付けシート!$1:$2,2,FALSE)</f>
        <v>134</v>
      </c>
      <c r="D92" s="111">
        <f>HLOOKUP(SUBSTITUTE(CONCATENATE(SUBSTITUTE(SUBSTITUTE(A92,"歳","")," ",""),"_全体")," ",""),[10]データ貼り付けシート!$1:$2,2,FALSE)</f>
        <v>192</v>
      </c>
      <c r="E92" s="109"/>
    </row>
    <row r="93" spans="1:5" x14ac:dyDescent="0.4">
      <c r="A93" s="110" t="s">
        <v>94</v>
      </c>
      <c r="B93" s="111">
        <f>HLOOKUP(SUBSTITUTE(CONCATENATE(SUBSTITUTE(SUBSTITUTE(A93,"歳","")," ",""),"_男")," ",""),[10]データ貼り付けシート!$1:$2,2,FALSE)</f>
        <v>58</v>
      </c>
      <c r="C93" s="111">
        <f>HLOOKUP(SUBSTITUTE(CONCATENATE(SUBSTITUTE(SUBSTITUTE(A93,"歳","")," ",""),"_女")," ",""),[10]データ貼り付けシート!$1:$2,2,FALSE)</f>
        <v>152</v>
      </c>
      <c r="D93" s="111">
        <f>HLOOKUP(SUBSTITUTE(CONCATENATE(SUBSTITUTE(SUBSTITUTE(A93,"歳","")," ",""),"_全体")," ",""),[10]データ貼り付けシート!$1:$2,2,FALSE)</f>
        <v>210</v>
      </c>
      <c r="E93" s="109"/>
    </row>
    <row r="94" spans="1:5" x14ac:dyDescent="0.4">
      <c r="A94" s="110" t="s">
        <v>95</v>
      </c>
      <c r="B94" s="111">
        <f>HLOOKUP(SUBSTITUTE(CONCATENATE(SUBSTITUTE(SUBSTITUTE(A94,"歳","")," ",""),"_男")," ",""),[10]データ貼り付けシート!$1:$2,2,FALSE)</f>
        <v>44</v>
      </c>
      <c r="C94" s="111">
        <f>HLOOKUP(SUBSTITUTE(CONCATENATE(SUBSTITUTE(SUBSTITUTE(A94,"歳","")," ",""),"_女")," ",""),[10]データ貼り付けシート!$1:$2,2,FALSE)</f>
        <v>116</v>
      </c>
      <c r="D94" s="111">
        <f>HLOOKUP(SUBSTITUTE(CONCATENATE(SUBSTITUTE(SUBSTITUTE(A94,"歳","")," ",""),"_全体")," ",""),[10]データ貼り付けシート!$1:$2,2,FALSE)</f>
        <v>160</v>
      </c>
      <c r="E94" s="109"/>
    </row>
    <row r="95" spans="1:5" x14ac:dyDescent="0.4">
      <c r="A95" s="110" t="s">
        <v>96</v>
      </c>
      <c r="B95" s="111">
        <f>HLOOKUP(SUBSTITUTE(CONCATENATE(SUBSTITUTE(SUBSTITUTE(A95,"歳","")," ",""),"_男")," ",""),[10]データ貼り付けシート!$1:$2,2,FALSE)</f>
        <v>35</v>
      </c>
      <c r="C95" s="111">
        <f>HLOOKUP(SUBSTITUTE(CONCATENATE(SUBSTITUTE(SUBSTITUTE(A95,"歳","")," ",""),"_女")," ",""),[10]データ貼り付けシート!$1:$2,2,FALSE)</f>
        <v>94</v>
      </c>
      <c r="D95" s="111">
        <f>HLOOKUP(SUBSTITUTE(CONCATENATE(SUBSTITUTE(SUBSTITUTE(A95,"歳","")," ",""),"_全体")," ",""),[10]データ貼り付けシート!$1:$2,2,FALSE)</f>
        <v>129</v>
      </c>
      <c r="E95" s="109"/>
    </row>
    <row r="96" spans="1:5" x14ac:dyDescent="0.4">
      <c r="A96" s="110" t="s">
        <v>97</v>
      </c>
      <c r="B96" s="111">
        <f>HLOOKUP(SUBSTITUTE(CONCATENATE(SUBSTITUTE(SUBSTITUTE(A96,"歳","")," ",""),"_男")," ",""),[10]データ貼り付けシート!$1:$2,2,FALSE)</f>
        <v>26</v>
      </c>
      <c r="C96" s="111">
        <f>HLOOKUP(SUBSTITUTE(CONCATENATE(SUBSTITUTE(SUBSTITUTE(A96,"歳","")," ",""),"_女")," ",""),[10]データ貼り付けシート!$1:$2,2,FALSE)</f>
        <v>74</v>
      </c>
      <c r="D96" s="111">
        <f>HLOOKUP(SUBSTITUTE(CONCATENATE(SUBSTITUTE(SUBSTITUTE(A96,"歳","")," ",""),"_全体")," ",""),[10]データ貼り付けシート!$1:$2,2,FALSE)</f>
        <v>100</v>
      </c>
      <c r="E96" s="109"/>
    </row>
    <row r="97" spans="1:5" x14ac:dyDescent="0.4">
      <c r="A97" s="110" t="s">
        <v>98</v>
      </c>
      <c r="B97" s="111">
        <f>HLOOKUP(SUBSTITUTE(CONCATENATE(SUBSTITUTE(SUBSTITUTE(A97,"歳","")," ",""),"_男")," ",""),[10]データ貼り付けシート!$1:$2,2,FALSE)</f>
        <v>14</v>
      </c>
      <c r="C97" s="111">
        <f>HLOOKUP(SUBSTITUTE(CONCATENATE(SUBSTITUTE(SUBSTITUTE(A97,"歳","")," ",""),"_女")," ",""),[10]データ貼り付けシート!$1:$2,2,FALSE)</f>
        <v>65</v>
      </c>
      <c r="D97" s="111">
        <f>HLOOKUP(SUBSTITUTE(CONCATENATE(SUBSTITUTE(SUBSTITUTE(A97,"歳","")," ",""),"_全体")," ",""),[10]データ貼り付けシート!$1:$2,2,FALSE)</f>
        <v>79</v>
      </c>
      <c r="E97" s="109"/>
    </row>
    <row r="98" spans="1:5" x14ac:dyDescent="0.4">
      <c r="A98" s="110" t="s">
        <v>99</v>
      </c>
      <c r="B98" s="111">
        <f>HLOOKUP(SUBSTITUTE(CONCATENATE(SUBSTITUTE(SUBSTITUTE(A98,"歳","")," ",""),"_男")," ",""),[10]データ貼り付けシート!$1:$2,2,FALSE)</f>
        <v>10</v>
      </c>
      <c r="C98" s="111">
        <f>HLOOKUP(SUBSTITUTE(CONCATENATE(SUBSTITUTE(SUBSTITUTE(A98,"歳","")," ",""),"_女")," ",""),[10]データ貼り付けシート!$1:$2,2,FALSE)</f>
        <v>52</v>
      </c>
      <c r="D98" s="111">
        <f>HLOOKUP(SUBSTITUTE(CONCATENATE(SUBSTITUTE(SUBSTITUTE(A98,"歳","")," ",""),"_全体")," ",""),[10]データ貼り付けシート!$1:$2,2,FALSE)</f>
        <v>62</v>
      </c>
      <c r="E98" s="109"/>
    </row>
    <row r="99" spans="1:5" x14ac:dyDescent="0.4">
      <c r="A99" s="110" t="s">
        <v>100</v>
      </c>
      <c r="B99" s="111">
        <f>HLOOKUP(SUBSTITUTE(CONCATENATE(SUBSTITUTE(SUBSTITUTE(A99,"歳","")," ",""),"_男")," ",""),[10]データ貼り付けシート!$1:$2,2,FALSE)</f>
        <v>5</v>
      </c>
      <c r="C99" s="111">
        <f>HLOOKUP(SUBSTITUTE(CONCATENATE(SUBSTITUTE(SUBSTITUTE(A99,"歳","")," ",""),"_女")," ",""),[10]データ貼り付けシート!$1:$2,2,FALSE)</f>
        <v>34</v>
      </c>
      <c r="D99" s="111">
        <f>HLOOKUP(SUBSTITUTE(CONCATENATE(SUBSTITUTE(SUBSTITUTE(A99,"歳","")," ",""),"_全体")," ",""),[10]データ貼り付けシート!$1:$2,2,FALSE)</f>
        <v>39</v>
      </c>
      <c r="E99" s="109"/>
    </row>
    <row r="100" spans="1:5" x14ac:dyDescent="0.4">
      <c r="A100" s="110" t="s">
        <v>101</v>
      </c>
      <c r="B100" s="111">
        <f>HLOOKUP(SUBSTITUTE(CONCATENATE(SUBSTITUTE(SUBSTITUTE(A100,"歳","")," ",""),"_男")," ",""),[10]データ貼り付けシート!$1:$2,2,FALSE)</f>
        <v>7</v>
      </c>
      <c r="C100" s="111">
        <f>HLOOKUP(SUBSTITUTE(CONCATENATE(SUBSTITUTE(SUBSTITUTE(A100,"歳","")," ",""),"_女")," ",""),[10]データ貼り付けシート!$1:$2,2,FALSE)</f>
        <v>36</v>
      </c>
      <c r="D100" s="111">
        <f>HLOOKUP(SUBSTITUTE(CONCATENATE(SUBSTITUTE(SUBSTITUTE(A100,"歳","")," ",""),"_全体")," ",""),[10]データ貼り付けシート!$1:$2,2,FALSE)</f>
        <v>43</v>
      </c>
      <c r="E100" s="109"/>
    </row>
    <row r="101" spans="1:5" x14ac:dyDescent="0.4">
      <c r="A101" s="110" t="s">
        <v>102</v>
      </c>
      <c r="B101" s="111">
        <f>HLOOKUP(SUBSTITUTE(CONCATENATE(SUBSTITUTE(SUBSTITUTE(A101,"歳","")," ",""),"_男")," ",""),[10]データ貼り付けシート!$1:$2,2,FALSE)</f>
        <v>2</v>
      </c>
      <c r="C101" s="111">
        <f>HLOOKUP(SUBSTITUTE(CONCATENATE(SUBSTITUTE(SUBSTITUTE(A101,"歳","")," ",""),"_女")," ",""),[10]データ貼り付けシート!$1:$2,2,FALSE)</f>
        <v>16</v>
      </c>
      <c r="D101" s="111">
        <f>HLOOKUP(SUBSTITUTE(CONCATENATE(SUBSTITUTE(SUBSTITUTE(A101,"歳","")," ",""),"_全体")," ",""),[10]データ貼り付けシート!$1:$2,2,FALSE)</f>
        <v>18</v>
      </c>
      <c r="E101" s="109"/>
    </row>
    <row r="102" spans="1:5" x14ac:dyDescent="0.4">
      <c r="A102" s="110" t="s">
        <v>103</v>
      </c>
      <c r="B102" s="111">
        <f>HLOOKUP(SUBSTITUTE(CONCATENATE(SUBSTITUTE(SUBSTITUTE(A102,"歳","")," ",""),"_男")," ",""),[10]データ貼り付けシート!$1:$2,2,FALSE)</f>
        <v>3</v>
      </c>
      <c r="C102" s="111">
        <f>HLOOKUP(SUBSTITUTE(CONCATENATE(SUBSTITUTE(SUBSTITUTE(A102,"歳","")," ",""),"_女")," ",""),[10]データ貼り付けシート!$1:$2,2,FALSE)</f>
        <v>22</v>
      </c>
      <c r="D102" s="111">
        <f>HLOOKUP(SUBSTITUTE(CONCATENATE(SUBSTITUTE(SUBSTITUTE(A102,"歳","")," ",""),"_全体")," ",""),[10]データ貼り付けシート!$1:$2,2,FALSE)</f>
        <v>25</v>
      </c>
      <c r="E102" s="109"/>
    </row>
    <row r="103" spans="1:5" x14ac:dyDescent="0.4">
      <c r="A103" s="110" t="s">
        <v>104</v>
      </c>
      <c r="B103" s="111">
        <f>HLOOKUP(SUBSTITUTE(CONCATENATE(SUBSTITUTE(SUBSTITUTE(A103,"歳","")," ",""),"_男")," ",""),[10]データ貼り付けシート!$1:$2,2,FALSE)</f>
        <v>0</v>
      </c>
      <c r="C103" s="111">
        <f>HLOOKUP(SUBSTITUTE(CONCATENATE(SUBSTITUTE(SUBSTITUTE(A103,"歳","")," ",""),"_女")," ",""),[10]データ貼り付けシート!$1:$2,2,FALSE)</f>
        <v>10</v>
      </c>
      <c r="D103" s="111">
        <f>HLOOKUP(SUBSTITUTE(CONCATENATE(SUBSTITUTE(SUBSTITUTE(A103,"歳","")," ",""),"_全体")," ",""),[10]データ貼り付けシート!$1:$2,2,FALSE)</f>
        <v>10</v>
      </c>
      <c r="E103" s="109"/>
    </row>
    <row r="104" spans="1:5" x14ac:dyDescent="0.4">
      <c r="A104" s="110" t="s">
        <v>105</v>
      </c>
      <c r="B104" s="111">
        <f>HLOOKUP(SUBSTITUTE(CONCATENATE(SUBSTITUTE(SUBSTITUTE(A104,"歳","")," ",""),"_男")," ",""),[10]データ貼り付けシート!$1:$2,2,FALSE)</f>
        <v>0</v>
      </c>
      <c r="C104" s="111">
        <f>HLOOKUP(SUBSTITUTE(CONCATENATE(SUBSTITUTE(SUBSTITUTE(A104,"歳","")," ",""),"_女")," ",""),[10]データ貼り付けシート!$1:$2,2,FALSE)</f>
        <v>2</v>
      </c>
      <c r="D104" s="111">
        <f>HLOOKUP(SUBSTITUTE(CONCATENATE(SUBSTITUTE(SUBSTITUTE(A104,"歳","")," ",""),"_全体")," ",""),[10]データ貼り付けシート!$1:$2,2,FALSE)</f>
        <v>2</v>
      </c>
      <c r="E104" s="109"/>
    </row>
    <row r="105" spans="1:5" x14ac:dyDescent="0.4">
      <c r="A105" s="110" t="s">
        <v>106</v>
      </c>
      <c r="B105" s="111">
        <f>HLOOKUP(SUBSTITUTE(CONCATENATE(SUBSTITUTE(SUBSTITUTE(A105,"歳","")," ",""),"_男")," ",""),[10]データ貼り付けシート!$1:$2,2,FALSE)</f>
        <v>0</v>
      </c>
      <c r="C105" s="111">
        <f>HLOOKUP(SUBSTITUTE(CONCATENATE(SUBSTITUTE(SUBSTITUTE(A105,"歳","")," ",""),"_女")," ",""),[10]データ貼り付けシート!$1:$2,2,FALSE)</f>
        <v>2</v>
      </c>
      <c r="D105" s="111">
        <f>HLOOKUP(SUBSTITUTE(CONCATENATE(SUBSTITUTE(SUBSTITUTE(A105,"歳","")," ",""),"_全体")," ",""),[10]データ貼り付けシート!$1:$2,2,FALSE)</f>
        <v>2</v>
      </c>
      <c r="E105" s="109"/>
    </row>
    <row r="106" spans="1:5" x14ac:dyDescent="0.4">
      <c r="A106" s="110" t="s">
        <v>107</v>
      </c>
      <c r="B106" s="111">
        <f>HLOOKUP(SUBSTITUTE(CONCATENATE(SUBSTITUTE(SUBSTITUTE(A106,"歳","")," ",""),"_男")," ",""),[10]データ貼り付けシート!$1:$2,2,FALSE)</f>
        <v>1</v>
      </c>
      <c r="C106" s="111">
        <f>HLOOKUP(SUBSTITUTE(CONCATENATE(SUBSTITUTE(SUBSTITUTE(A106,"歳","")," ",""),"_女")," ",""),[10]データ貼り付けシート!$1:$2,2,FALSE)</f>
        <v>3</v>
      </c>
      <c r="D106" s="111">
        <f>HLOOKUP(SUBSTITUTE(CONCATENATE(SUBSTITUTE(SUBSTITUTE(A106,"歳","")," ",""),"_全体")," ",""),[10]データ貼り付けシート!$1:$2,2,FALSE)</f>
        <v>4</v>
      </c>
      <c r="E106" s="109"/>
    </row>
    <row r="107" spans="1:5" x14ac:dyDescent="0.4">
      <c r="A107" s="110" t="s">
        <v>108</v>
      </c>
      <c r="B107" s="111">
        <f>HLOOKUP(SUBSTITUTE(CONCATENATE(SUBSTITUTE(SUBSTITUTE(A107,"歳","")," ",""),"_男")," ",""),[10]データ貼り付けシート!$1:$2,2,FALSE)</f>
        <v>0</v>
      </c>
      <c r="C107" s="111">
        <f>HLOOKUP(SUBSTITUTE(CONCATENATE(SUBSTITUTE(SUBSTITUTE(A107,"歳","")," ",""),"_女")," ",""),[10]データ貼り付けシート!$1:$2,2,FALSE)</f>
        <v>3</v>
      </c>
      <c r="D107" s="111">
        <f>HLOOKUP(SUBSTITUTE(CONCATENATE(SUBSTITUTE(SUBSTITUTE(A107,"歳","")," ",""),"_全体")," ",""),[10]データ貼り付けシート!$1:$2,2,FALSE)</f>
        <v>3</v>
      </c>
      <c r="E107" s="109"/>
    </row>
    <row r="108" spans="1:5" x14ac:dyDescent="0.4">
      <c r="A108" s="110" t="s">
        <v>109</v>
      </c>
      <c r="B108" s="111">
        <f>IF(ISERROR(HLOOKUP("105以上_男",[10]データ貼り付けシート!$1:$2,2,FALSE)),0,HLOOKUP("105以上_男",[10]データ貼り付けシート!$1:$2,2,FALSE))+IF(ISERROR(HLOOKUP("105_男",[10]データ貼り付けシート!$1:$2,2,FALSE)),0,HLOOKUP("105_男",[10]データ貼り付けシート!$1:$2,2,FALSE))</f>
        <v>0</v>
      </c>
      <c r="C108" s="111">
        <f>IF(ISERROR(HLOOKUP("105以上_女",[10]データ貼り付けシート!$1:$2,2,FALSE)),0,HLOOKUP("105以上_女",[10]データ貼り付けシート!$1:$2,2,FALSE))+IF(ISERROR(HLOOKUP("105_女",[10]データ貼り付けシート!$1:$2,2,FALSE)),0,HLOOKUP("105_女",[10]データ貼り付けシート!$1:$2,2,FALSE))</f>
        <v>0</v>
      </c>
      <c r="D108" s="111">
        <f>B108+C108</f>
        <v>0</v>
      </c>
      <c r="E108" s="109"/>
    </row>
    <row r="109" spans="1:5" x14ac:dyDescent="0.4">
      <c r="A109" s="110" t="s">
        <v>110</v>
      </c>
      <c r="B109" s="111">
        <f>IF(ISERROR(HLOOKUP("106以上_男",[10]データ貼り付けシート!$1:$2,2,FALSE)),0,HLOOKUP("106以上_男",[10]データ貼り付けシート!$1:$2,2,FALSE))+IF(ISERROR(HLOOKUP("106_男",[10]データ貼り付けシート!$1:$2,2,FALSE)),0,HLOOKUP("106_男",[10]データ貼り付けシート!$1:$2,2,FALSE))</f>
        <v>0</v>
      </c>
      <c r="C109" s="111">
        <f>IF(ISERROR(HLOOKUP("106以上_女",[10]データ貼り付けシート!$1:$2,2,FALSE)),0,HLOOKUP("106以上_女",[10]データ貼り付けシート!$1:$2,2,FALSE))+IF(ISERROR(HLOOKUP("106_女",[10]データ貼り付けシート!$1:$2,2,FALSE)),0,HLOOKUP("106_女",[10]データ貼り付けシート!$1:$2,2,FALSE))</f>
        <v>0</v>
      </c>
      <c r="D109" s="111">
        <f>B109+C109</f>
        <v>0</v>
      </c>
      <c r="E109" s="109"/>
    </row>
    <row r="110" spans="1:5" x14ac:dyDescent="0.4">
      <c r="A110" s="110" t="s">
        <v>111</v>
      </c>
      <c r="B110" s="111">
        <f>IF(ISERROR(HLOOKUP("107以上_男",[10]データ貼り付けシート!$1:$2,2,FALSE)),0,HLOOKUP("107以上_男",[10]データ貼り付けシート!$1:$2,2,FALSE))+IF(ISERROR(HLOOKUP("107_男",[10]データ貼り付けシート!$1:$2,2,FALSE)),0,HLOOKUP("107_男",[10]データ貼り付けシート!$1:$2,2,FALSE))</f>
        <v>0</v>
      </c>
      <c r="C110" s="111">
        <f>IF(ISERROR(HLOOKUP("107以上_女",[10]データ貼り付けシート!$1:$2,2,FALSE)),0,HLOOKUP("107以上_女",[10]データ貼り付けシート!$1:$2,2,FALSE))+IF(ISERROR(HLOOKUP("107_女",[10]データ貼り付けシート!$1:$2,2,FALSE)),0,HLOOKUP("107_女",[10]データ貼り付けシート!$1:$2,2,FALSE))</f>
        <v>1</v>
      </c>
      <c r="D110" s="111">
        <f>B110+C110</f>
        <v>1</v>
      </c>
      <c r="E110" s="109"/>
    </row>
    <row r="111" spans="1:5" x14ac:dyDescent="0.4">
      <c r="A111" s="110" t="s">
        <v>112</v>
      </c>
      <c r="B111" s="111">
        <f>IF(ISERROR(HLOOKUP("108以上_男",[10]データ貼り付けシート!$1:$2,2,FALSE)),0,HLOOKUP("108以上_男",[10]データ貼り付けシート!$1:$2,2,FALSE))+IF(ISERROR(HLOOKUP("108_男",[10]データ貼り付けシート!$1:$2,2,FALSE)),0,HLOOKUP("108_男",[10]データ貼り付けシート!$1:$2,2,FALSE))</f>
        <v>0</v>
      </c>
      <c r="C111" s="111">
        <f>IF(ISERROR(HLOOKUP("108以上_女",[10]データ貼り付けシート!$1:$2,2,FALSE)),0,HLOOKUP("108以上_女",[10]データ貼り付けシート!$1:$2,2,FALSE))+IF(ISERROR(HLOOKUP("108_女",[10]データ貼り付けシート!$1:$2,2,FALSE)),0,HLOOKUP("108_女",[10]データ貼り付けシート!$1:$2,2,FALSE))</f>
        <v>0</v>
      </c>
      <c r="D111" s="111">
        <f t="shared" ref="D111:D113" si="0">B111+C111</f>
        <v>0</v>
      </c>
      <c r="E111" s="109"/>
    </row>
    <row r="112" spans="1:5" x14ac:dyDescent="0.4">
      <c r="A112" s="110" t="s">
        <v>113</v>
      </c>
      <c r="B112" s="111">
        <f>IF(ISERROR(HLOOKUP("109以上_男",[10]データ貼り付けシート!$1:$2,2,FALSE)),0,HLOOKUP("109以上_男",[10]データ貼り付けシート!$1:$2,2,FALSE))+IF(ISERROR(HLOOKUP("109_男",[10]データ貼り付けシート!$1:$2,2,FALSE)),0,HLOOKUP("109_男",[10]データ貼り付けシート!$1:$2,2,FALSE))</f>
        <v>0</v>
      </c>
      <c r="C112" s="111">
        <f>IF(ISERROR(HLOOKUP("109以上_女",[10]データ貼り付けシート!$1:$2,2,FALSE)),0,HLOOKUP("109以上_女",[10]データ貼り付けシート!$1:$2,2,FALSE))+IF(ISERROR(HLOOKUP("109_女",[10]データ貼り付けシート!$1:$2,2,FALSE)),0,HLOOKUP("109_女",[10]データ貼り付けシート!$1:$2,2,FALSE))</f>
        <v>0</v>
      </c>
      <c r="D112" s="111">
        <f t="shared" si="0"/>
        <v>0</v>
      </c>
      <c r="E112" s="109"/>
    </row>
    <row r="113" spans="1:5" x14ac:dyDescent="0.4">
      <c r="A113" s="110" t="s">
        <v>114</v>
      </c>
      <c r="B113" s="111">
        <f>IF(ISERROR(HLOOKUP("110以上_男",[10]データ貼り付けシート!$1:$2,2,FALSE)),0,HLOOKUP("110以上_男",[10]データ貼り付けシート!$1:$2,2,FALSE))+IF(ISERROR(HLOOKUP("110_男",[10]データ貼り付けシート!$1:$2,2,FALSE)),0,HLOOKUP("110_男",[10]データ貼り付けシート!$1:$2,2,FALSE))</f>
        <v>0</v>
      </c>
      <c r="C113" s="111">
        <f>IF(ISERROR(HLOOKUP("110以上_女",[10]データ貼り付けシート!$1:$2,2,FALSE)),0,HLOOKUP("107以上_女",[10]データ貼り付けシート!$1:$2,2,FALSE))+IF(ISERROR(HLOOKUP("110_女",[10]データ貼り付けシート!$1:$2,2,FALSE)),0,HLOOKUP("110_女",[10]データ貼り付けシート!$1:$2,2,FALSE))</f>
        <v>0</v>
      </c>
      <c r="D113" s="111">
        <f t="shared" si="0"/>
        <v>0</v>
      </c>
      <c r="E113" s="109"/>
    </row>
    <row r="114" spans="1:5" x14ac:dyDescent="0.4">
      <c r="A114" s="109"/>
      <c r="B114" s="112"/>
      <c r="C114" s="112"/>
      <c r="D114" s="112"/>
      <c r="E114" s="109"/>
    </row>
    <row r="115" spans="1:5" x14ac:dyDescent="0.4">
      <c r="A115" s="113" t="s">
        <v>0</v>
      </c>
      <c r="B115" s="113" t="s">
        <v>1</v>
      </c>
      <c r="C115" s="114" t="s">
        <v>2</v>
      </c>
      <c r="D115" s="108" t="s">
        <v>3</v>
      </c>
      <c r="E115" s="109"/>
    </row>
    <row r="116" spans="1:5" x14ac:dyDescent="0.4">
      <c r="A116" s="113" t="s">
        <v>115</v>
      </c>
      <c r="B116" s="115">
        <f>SUM(B3:B8)</f>
        <v>2358</v>
      </c>
      <c r="C116" s="116">
        <f>SUM(C3:C8)</f>
        <v>2254</v>
      </c>
      <c r="D116" s="111">
        <f>B116+C116</f>
        <v>4612</v>
      </c>
      <c r="E116" s="109"/>
    </row>
    <row r="117" spans="1:5" x14ac:dyDescent="0.4">
      <c r="A117" s="113" t="s">
        <v>116</v>
      </c>
      <c r="B117" s="115">
        <f>SUM(B9:B14)</f>
        <v>2184</v>
      </c>
      <c r="C117" s="115">
        <f>SUM(C9:C14)</f>
        <v>2096</v>
      </c>
      <c r="D117" s="111">
        <f>B117+C117</f>
        <v>4280</v>
      </c>
      <c r="E117" s="109"/>
    </row>
    <row r="118" spans="1:5" x14ac:dyDescent="0.4">
      <c r="A118" s="113" t="s">
        <v>117</v>
      </c>
      <c r="B118" s="115">
        <f>SUM(B15:B17)</f>
        <v>1167</v>
      </c>
      <c r="C118" s="115">
        <f>SUM(C15:C17)</f>
        <v>1108</v>
      </c>
      <c r="D118" s="111">
        <f>B118+C118</f>
        <v>2275</v>
      </c>
      <c r="E118" s="109"/>
    </row>
    <row r="119" spans="1:5" x14ac:dyDescent="0.4">
      <c r="A119" s="113" t="s">
        <v>118</v>
      </c>
      <c r="B119" s="115">
        <f>SUM(B116:B118)</f>
        <v>5709</v>
      </c>
      <c r="C119" s="115">
        <f>SUM(C116:C118)</f>
        <v>5458</v>
      </c>
      <c r="D119" s="115">
        <f>SUM(D116:D118)</f>
        <v>11167</v>
      </c>
      <c r="E119" s="117">
        <f>D119/D135</f>
        <v>0.12891941814823366</v>
      </c>
    </row>
    <row r="120" spans="1:5" x14ac:dyDescent="0.4">
      <c r="A120" s="109"/>
      <c r="B120" s="109"/>
      <c r="C120" s="109"/>
      <c r="D120" s="109"/>
      <c r="E120" s="109"/>
    </row>
    <row r="121" spans="1:5" x14ac:dyDescent="0.4">
      <c r="A121" s="108" t="s">
        <v>0</v>
      </c>
      <c r="B121" s="108" t="s">
        <v>1</v>
      </c>
      <c r="C121" s="108" t="s">
        <v>2</v>
      </c>
      <c r="D121" s="108" t="s">
        <v>3</v>
      </c>
      <c r="E121" s="109"/>
    </row>
    <row r="122" spans="1:5" x14ac:dyDescent="0.4">
      <c r="A122" s="108" t="s">
        <v>119</v>
      </c>
      <c r="B122" s="111">
        <f>SUM(B18:B20)</f>
        <v>1182</v>
      </c>
      <c r="C122" s="111">
        <f>SUM(C18:C20)</f>
        <v>1133</v>
      </c>
      <c r="D122" s="111">
        <f t="shared" ref="D122:D126" si="1">B122+C122</f>
        <v>2315</v>
      </c>
      <c r="E122" s="109"/>
    </row>
    <row r="123" spans="1:5" x14ac:dyDescent="0.4">
      <c r="A123" s="108" t="s">
        <v>120</v>
      </c>
      <c r="B123" s="111">
        <f>SUM(B21:B32)</f>
        <v>5970</v>
      </c>
      <c r="C123" s="111">
        <f>SUM(C21:C32)</f>
        <v>5508</v>
      </c>
      <c r="D123" s="111">
        <f t="shared" si="1"/>
        <v>11478</v>
      </c>
      <c r="E123" s="109"/>
    </row>
    <row r="124" spans="1:5" x14ac:dyDescent="0.4">
      <c r="A124" s="108" t="s">
        <v>121</v>
      </c>
      <c r="B124" s="111">
        <f>SUM(B33:B42)</f>
        <v>5639</v>
      </c>
      <c r="C124" s="111">
        <f>SUM(C33:C42)</f>
        <v>5373</v>
      </c>
      <c r="D124" s="111">
        <f t="shared" si="1"/>
        <v>11012</v>
      </c>
      <c r="E124" s="109"/>
    </row>
    <row r="125" spans="1:5" x14ac:dyDescent="0.4">
      <c r="A125" s="108" t="s">
        <v>122</v>
      </c>
      <c r="B125" s="111">
        <f>SUM(B43:B52)</f>
        <v>7256</v>
      </c>
      <c r="C125" s="111">
        <f>SUM(C43:C52)</f>
        <v>6684</v>
      </c>
      <c r="D125" s="111">
        <f t="shared" si="1"/>
        <v>13940</v>
      </c>
      <c r="E125" s="109"/>
    </row>
    <row r="126" spans="1:5" x14ac:dyDescent="0.4">
      <c r="A126" s="118" t="s">
        <v>123</v>
      </c>
      <c r="B126" s="111">
        <f>SUM(B53:B67)</f>
        <v>7561</v>
      </c>
      <c r="C126" s="111">
        <f>SUM(C53:C67)</f>
        <v>6997</v>
      </c>
      <c r="D126" s="111">
        <f t="shared" si="1"/>
        <v>14558</v>
      </c>
      <c r="E126" s="109"/>
    </row>
    <row r="127" spans="1:5" ht="24" x14ac:dyDescent="0.4">
      <c r="A127" s="113" t="s">
        <v>182</v>
      </c>
      <c r="B127" s="116">
        <f>SUM(B122:B126)</f>
        <v>27608</v>
      </c>
      <c r="C127" s="116">
        <f>SUM(C122:C126)</f>
        <v>25695</v>
      </c>
      <c r="D127" s="116">
        <f>SUM(D122:D126)</f>
        <v>53303</v>
      </c>
      <c r="E127" s="117">
        <f>D127/D135</f>
        <v>0.61536596628954054</v>
      </c>
    </row>
    <row r="128" spans="1:5" x14ac:dyDescent="0.4">
      <c r="A128" s="109"/>
      <c r="B128" s="109"/>
      <c r="C128" s="109"/>
      <c r="D128" s="109"/>
      <c r="E128" s="109"/>
    </row>
    <row r="129" spans="1:5" x14ac:dyDescent="0.4">
      <c r="A129" s="108" t="s">
        <v>0</v>
      </c>
      <c r="B129" s="108" t="s">
        <v>1</v>
      </c>
      <c r="C129" s="108" t="s">
        <v>2</v>
      </c>
      <c r="D129" s="108" t="s">
        <v>3</v>
      </c>
      <c r="E129" s="109"/>
    </row>
    <row r="130" spans="1:5" x14ac:dyDescent="0.4">
      <c r="A130" s="108" t="s">
        <v>125</v>
      </c>
      <c r="B130" s="111">
        <f>SUM(B68:B72)</f>
        <v>2427</v>
      </c>
      <c r="C130" s="111">
        <f>SUM(C68:C72)</f>
        <v>2722</v>
      </c>
      <c r="D130" s="111">
        <f t="shared" ref="D130:D131" si="2">B130+C130</f>
        <v>5149</v>
      </c>
      <c r="E130" s="109"/>
    </row>
    <row r="131" spans="1:5" x14ac:dyDescent="0.4">
      <c r="A131" s="118" t="s">
        <v>126</v>
      </c>
      <c r="B131" s="111">
        <f>SUM(B73:B113)</f>
        <v>7367</v>
      </c>
      <c r="C131" s="111">
        <f>SUM(C73:C113)</f>
        <v>9634</v>
      </c>
      <c r="D131" s="111">
        <f t="shared" si="2"/>
        <v>17001</v>
      </c>
      <c r="E131" s="109"/>
    </row>
    <row r="132" spans="1:5" x14ac:dyDescent="0.4">
      <c r="A132" s="113" t="s">
        <v>127</v>
      </c>
      <c r="B132" s="116">
        <f>SUM(B130:B131)</f>
        <v>9794</v>
      </c>
      <c r="C132" s="116">
        <f>SUM(C130:C131)</f>
        <v>12356</v>
      </c>
      <c r="D132" s="116">
        <f>SUM(D130:D131)</f>
        <v>22150</v>
      </c>
      <c r="E132" s="117">
        <f>D132/D135</f>
        <v>0.2557146155622258</v>
      </c>
    </row>
    <row r="133" spans="1:5" x14ac:dyDescent="0.4">
      <c r="A133" s="109"/>
      <c r="B133" s="109"/>
      <c r="C133" s="109"/>
      <c r="D133" s="109"/>
      <c r="E133" s="109"/>
    </row>
    <row r="134" spans="1:5" x14ac:dyDescent="0.4">
      <c r="A134" s="169" t="s">
        <v>128</v>
      </c>
      <c r="B134" s="108" t="s">
        <v>1</v>
      </c>
      <c r="C134" s="108" t="s">
        <v>2</v>
      </c>
      <c r="D134" s="108" t="s">
        <v>3</v>
      </c>
      <c r="E134" s="109"/>
    </row>
    <row r="135" spans="1:5" x14ac:dyDescent="0.4">
      <c r="A135" s="170"/>
      <c r="B135" s="111">
        <f>SUM(B3:B113)</f>
        <v>43111</v>
      </c>
      <c r="C135" s="111">
        <f>SUM(C3:C113)</f>
        <v>43509</v>
      </c>
      <c r="D135" s="111">
        <f>B135+C135</f>
        <v>86620</v>
      </c>
      <c r="E135" s="109"/>
    </row>
    <row r="137" spans="1:5" x14ac:dyDescent="0.4">
      <c r="A137" s="106" t="s">
        <v>129</v>
      </c>
    </row>
  </sheetData>
  <mergeCells count="2">
    <mergeCell ref="A1:E1"/>
    <mergeCell ref="A134:A135"/>
  </mergeCells>
  <phoneticPr fontId="16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7"/>
  <sheetViews>
    <sheetView workbookViewId="0">
      <selection activeCell="F78" sqref="F78"/>
    </sheetView>
  </sheetViews>
  <sheetFormatPr defaultRowHeight="18.75" x14ac:dyDescent="0.4"/>
  <cols>
    <col min="1" max="6" width="9" style="119"/>
    <col min="7" max="7" width="35.125" style="119" bestFit="1" customWidth="1"/>
    <col min="8" max="16384" width="9" style="119"/>
  </cols>
  <sheetData>
    <row r="1" spans="1:7" ht="19.5" x14ac:dyDescent="0.4">
      <c r="A1" s="171" t="str">
        <f>HLOOKUP("基準日",[11]データ貼り付けシート!$1:$2,2,FALSE)</f>
        <v>令和元年11月30日</v>
      </c>
      <c r="B1" s="171"/>
      <c r="C1" s="171"/>
      <c r="D1" s="171"/>
      <c r="E1" s="171"/>
      <c r="G1" s="120"/>
    </row>
    <row r="2" spans="1:7" x14ac:dyDescent="0.4">
      <c r="A2" s="121" t="s">
        <v>0</v>
      </c>
      <c r="B2" s="121" t="s">
        <v>1</v>
      </c>
      <c r="C2" s="121" t="s">
        <v>2</v>
      </c>
      <c r="D2" s="121" t="s">
        <v>3</v>
      </c>
      <c r="E2" s="122"/>
    </row>
    <row r="3" spans="1:7" x14ac:dyDescent="0.4">
      <c r="A3" s="123" t="s">
        <v>183</v>
      </c>
      <c r="B3" s="124">
        <f>HLOOKUP(SUBSTITUTE(CONCATENATE(SUBSTITUTE(SUBSTITUTE(A3,"歳","")," ",""),"_男")," ",""),[11]データ貼り付けシート!$1:$2,2,FALSE)</f>
        <v>386</v>
      </c>
      <c r="C3" s="124">
        <f>HLOOKUP(SUBSTITUTE(CONCATENATE(SUBSTITUTE(SUBSTITUTE(A3,"歳","")," ",""),"_女")," ",""),[11]データ貼り付けシート!$1:$2,2,FALSE)</f>
        <v>371</v>
      </c>
      <c r="D3" s="124">
        <f>HLOOKUP(SUBSTITUTE(CONCATENATE(SUBSTITUTE(SUBSTITUTE(A3,"歳","")," ",""),"_全体")," ",""),[11]データ貼り付けシート!$1:$2,2,FALSE)</f>
        <v>757</v>
      </c>
      <c r="E3" s="122"/>
    </row>
    <row r="4" spans="1:7" x14ac:dyDescent="0.4">
      <c r="A4" s="123" t="s">
        <v>5</v>
      </c>
      <c r="B4" s="124">
        <f>HLOOKUP(SUBSTITUTE(CONCATENATE(SUBSTITUTE(SUBSTITUTE(A4,"歳","")," ",""),"_男")," ",""),[11]データ貼り付けシート!$1:$2,2,FALSE)</f>
        <v>410</v>
      </c>
      <c r="C4" s="124">
        <f>HLOOKUP(SUBSTITUTE(CONCATENATE(SUBSTITUTE(SUBSTITUTE(A4,"歳","")," ",""),"_女")," ",""),[11]データ貼り付けシート!$1:$2,2,FALSE)</f>
        <v>411</v>
      </c>
      <c r="D4" s="124">
        <f>HLOOKUP(SUBSTITUTE(CONCATENATE(SUBSTITUTE(SUBSTITUTE(A4,"歳","")," ",""),"_全体")," ",""),[11]データ貼り付けシート!$1:$2,2,FALSE)</f>
        <v>821</v>
      </c>
      <c r="E4" s="122"/>
    </row>
    <row r="5" spans="1:7" x14ac:dyDescent="0.4">
      <c r="A5" s="123" t="s">
        <v>6</v>
      </c>
      <c r="B5" s="124">
        <f>HLOOKUP(SUBSTITUTE(CONCATENATE(SUBSTITUTE(SUBSTITUTE(A5,"歳","")," ",""),"_男")," ",""),[11]データ貼り付けシート!$1:$2,2,FALSE)</f>
        <v>388</v>
      </c>
      <c r="C5" s="124">
        <f>HLOOKUP(SUBSTITUTE(CONCATENATE(SUBSTITUTE(SUBSTITUTE(A5,"歳","")," ",""),"_女")," ",""),[11]データ貼り付けシート!$1:$2,2,FALSE)</f>
        <v>349</v>
      </c>
      <c r="D5" s="124">
        <f>HLOOKUP(SUBSTITUTE(CONCATENATE(SUBSTITUTE(SUBSTITUTE(A5,"歳","")," ",""),"_全体")," ",""),[11]データ貼り付けシート!$1:$2,2,FALSE)</f>
        <v>737</v>
      </c>
      <c r="E5" s="122"/>
    </row>
    <row r="6" spans="1:7" x14ac:dyDescent="0.4">
      <c r="A6" s="123" t="s">
        <v>7</v>
      </c>
      <c r="B6" s="124">
        <f>HLOOKUP(SUBSTITUTE(CONCATENATE(SUBSTITUTE(SUBSTITUTE(A6,"歳","")," ",""),"_男")," ",""),[11]データ貼り付けシート!$1:$2,2,FALSE)</f>
        <v>415</v>
      </c>
      <c r="C6" s="124">
        <f>HLOOKUP(SUBSTITUTE(CONCATENATE(SUBSTITUTE(SUBSTITUTE(A6,"歳","")," ",""),"_女")," ",""),[11]データ貼り付けシート!$1:$2,2,FALSE)</f>
        <v>392</v>
      </c>
      <c r="D6" s="124">
        <f>HLOOKUP(SUBSTITUTE(CONCATENATE(SUBSTITUTE(SUBSTITUTE(A6,"歳","")," ",""),"_全体")," ",""),[11]データ貼り付けシート!$1:$2,2,FALSE)</f>
        <v>807</v>
      </c>
      <c r="E6" s="122"/>
    </row>
    <row r="7" spans="1:7" x14ac:dyDescent="0.4">
      <c r="A7" s="123" t="s">
        <v>8</v>
      </c>
      <c r="B7" s="124">
        <f>HLOOKUP(SUBSTITUTE(CONCATENATE(SUBSTITUTE(SUBSTITUTE(A7,"歳","")," ",""),"_男")," ",""),[11]データ貼り付けシート!$1:$2,2,FALSE)</f>
        <v>370</v>
      </c>
      <c r="C7" s="124">
        <f>HLOOKUP(SUBSTITUTE(CONCATENATE(SUBSTITUTE(SUBSTITUTE(A7,"歳","")," ",""),"_女")," ",""),[11]データ貼り付けシート!$1:$2,2,FALSE)</f>
        <v>338</v>
      </c>
      <c r="D7" s="124">
        <f>HLOOKUP(SUBSTITUTE(CONCATENATE(SUBSTITUTE(SUBSTITUTE(A7,"歳","")," ",""),"_全体")," ",""),[11]データ貼り付けシート!$1:$2,2,FALSE)</f>
        <v>708</v>
      </c>
      <c r="E7" s="122"/>
    </row>
    <row r="8" spans="1:7" x14ac:dyDescent="0.4">
      <c r="A8" s="123" t="s">
        <v>9</v>
      </c>
      <c r="B8" s="124">
        <f>HLOOKUP(SUBSTITUTE(CONCATENATE(SUBSTITUTE(SUBSTITUTE(A8,"歳","")," ",""),"_男")," ",""),[11]データ貼り付けシート!$1:$2,2,FALSE)</f>
        <v>373</v>
      </c>
      <c r="C8" s="124">
        <f>HLOOKUP(SUBSTITUTE(CONCATENATE(SUBSTITUTE(SUBSTITUTE(A8,"歳","")," ",""),"_女")," ",""),[11]データ貼り付けシート!$1:$2,2,FALSE)</f>
        <v>398</v>
      </c>
      <c r="D8" s="124">
        <f>HLOOKUP(SUBSTITUTE(CONCATENATE(SUBSTITUTE(SUBSTITUTE(A8,"歳","")," ",""),"_全体")," ",""),[11]データ貼り付けシート!$1:$2,2,FALSE)</f>
        <v>771</v>
      </c>
      <c r="E8" s="122"/>
    </row>
    <row r="9" spans="1:7" x14ac:dyDescent="0.4">
      <c r="A9" s="123" t="s">
        <v>10</v>
      </c>
      <c r="B9" s="124">
        <f>HLOOKUP(SUBSTITUTE(CONCATENATE(SUBSTITUTE(SUBSTITUTE(A9,"歳","")," ",""),"_男")," ",""),[11]データ貼り付けシート!$1:$2,2,FALSE)</f>
        <v>372</v>
      </c>
      <c r="C9" s="124">
        <f>HLOOKUP(SUBSTITUTE(CONCATENATE(SUBSTITUTE(SUBSTITUTE(A9,"歳","")," ",""),"_女")," ",""),[11]データ貼り付けシート!$1:$2,2,FALSE)</f>
        <v>314</v>
      </c>
      <c r="D9" s="124">
        <f>HLOOKUP(SUBSTITUTE(CONCATENATE(SUBSTITUTE(SUBSTITUTE(A9,"歳","")," ",""),"_全体")," ",""),[11]データ貼り付けシート!$1:$2,2,FALSE)</f>
        <v>686</v>
      </c>
      <c r="E9" s="122"/>
    </row>
    <row r="10" spans="1:7" x14ac:dyDescent="0.4">
      <c r="A10" s="123" t="s">
        <v>11</v>
      </c>
      <c r="B10" s="124">
        <f>HLOOKUP(SUBSTITUTE(CONCATENATE(SUBSTITUTE(SUBSTITUTE(A10,"歳","")," ",""),"_男")," ",""),[11]データ貼り付けシート!$1:$2,2,FALSE)</f>
        <v>354</v>
      </c>
      <c r="C10" s="124">
        <f>HLOOKUP(SUBSTITUTE(CONCATENATE(SUBSTITUTE(SUBSTITUTE(A10,"歳","")," ",""),"_女")," ",""),[11]データ貼り付けシート!$1:$2,2,FALSE)</f>
        <v>365</v>
      </c>
      <c r="D10" s="124">
        <f>HLOOKUP(SUBSTITUTE(CONCATENATE(SUBSTITUTE(SUBSTITUTE(A10,"歳","")," ",""),"_全体")," ",""),[11]データ貼り付けシート!$1:$2,2,FALSE)</f>
        <v>719</v>
      </c>
      <c r="E10" s="122"/>
    </row>
    <row r="11" spans="1:7" x14ac:dyDescent="0.4">
      <c r="A11" s="123" t="s">
        <v>12</v>
      </c>
      <c r="B11" s="124">
        <f>HLOOKUP(SUBSTITUTE(CONCATENATE(SUBSTITUTE(SUBSTITUTE(A11,"歳","")," ",""),"_男")," ",""),[11]データ貼り付けシート!$1:$2,2,FALSE)</f>
        <v>361</v>
      </c>
      <c r="C11" s="124">
        <f>HLOOKUP(SUBSTITUTE(CONCATENATE(SUBSTITUTE(SUBSTITUTE(A11,"歳","")," ",""),"_女")," ",""),[11]データ貼り付けシート!$1:$2,2,FALSE)</f>
        <v>359</v>
      </c>
      <c r="D11" s="124">
        <f>HLOOKUP(SUBSTITUTE(CONCATENATE(SUBSTITUTE(SUBSTITUTE(A11,"歳","")," ",""),"_全体")," ",""),[11]データ貼り付けシート!$1:$2,2,FALSE)</f>
        <v>720</v>
      </c>
      <c r="E11" s="122"/>
    </row>
    <row r="12" spans="1:7" x14ac:dyDescent="0.4">
      <c r="A12" s="123" t="s">
        <v>13</v>
      </c>
      <c r="B12" s="124">
        <f>HLOOKUP(SUBSTITUTE(CONCATENATE(SUBSTITUTE(SUBSTITUTE(A12,"歳","")," ",""),"_男")," ",""),[11]データ貼り付けシート!$1:$2,2,FALSE)</f>
        <v>367</v>
      </c>
      <c r="C12" s="124">
        <f>HLOOKUP(SUBSTITUTE(CONCATENATE(SUBSTITUTE(SUBSTITUTE(A12,"歳","")," ",""),"_女")," ",""),[11]データ貼り付けシート!$1:$2,2,FALSE)</f>
        <v>367</v>
      </c>
      <c r="D12" s="124">
        <f>HLOOKUP(SUBSTITUTE(CONCATENATE(SUBSTITUTE(SUBSTITUTE(A12,"歳","")," ",""),"_全体")," ",""),[11]データ貼り付けシート!$1:$2,2,FALSE)</f>
        <v>734</v>
      </c>
      <c r="E12" s="122"/>
    </row>
    <row r="13" spans="1:7" x14ac:dyDescent="0.4">
      <c r="A13" s="123" t="s">
        <v>14</v>
      </c>
      <c r="B13" s="124">
        <f>HLOOKUP(SUBSTITUTE(CONCATENATE(SUBSTITUTE(SUBSTITUTE(A13,"歳","")," ",""),"_男")," ",""),[11]データ貼り付けシート!$1:$2,2,FALSE)</f>
        <v>399</v>
      </c>
      <c r="C13" s="124">
        <f>HLOOKUP(SUBSTITUTE(CONCATENATE(SUBSTITUTE(SUBSTITUTE(A13,"歳","")," ",""),"_女")," ",""),[11]データ貼り付けシート!$1:$2,2,FALSE)</f>
        <v>341</v>
      </c>
      <c r="D13" s="124">
        <f>HLOOKUP(SUBSTITUTE(CONCATENATE(SUBSTITUTE(SUBSTITUTE(A13,"歳","")," ",""),"_全体")," ",""),[11]データ貼り付けシート!$1:$2,2,FALSE)</f>
        <v>740</v>
      </c>
      <c r="E13" s="122"/>
    </row>
    <row r="14" spans="1:7" x14ac:dyDescent="0.4">
      <c r="A14" s="123" t="s">
        <v>15</v>
      </c>
      <c r="B14" s="124">
        <f>HLOOKUP(SUBSTITUTE(CONCATENATE(SUBSTITUTE(SUBSTITUTE(A14,"歳","")," ",""),"_男")," ",""),[11]データ貼り付けシート!$1:$2,2,FALSE)</f>
        <v>335</v>
      </c>
      <c r="C14" s="124">
        <f>HLOOKUP(SUBSTITUTE(CONCATENATE(SUBSTITUTE(SUBSTITUTE(A14,"歳","")," ",""),"_女")," ",""),[11]データ貼り付けシート!$1:$2,2,FALSE)</f>
        <v>347</v>
      </c>
      <c r="D14" s="124">
        <f>HLOOKUP(SUBSTITUTE(CONCATENATE(SUBSTITUTE(SUBSTITUTE(A14,"歳","")," ",""),"_全体")," ",""),[11]データ貼り付けシート!$1:$2,2,FALSE)</f>
        <v>682</v>
      </c>
      <c r="E14" s="122"/>
    </row>
    <row r="15" spans="1:7" x14ac:dyDescent="0.4">
      <c r="A15" s="123" t="s">
        <v>16</v>
      </c>
      <c r="B15" s="124">
        <f>HLOOKUP(SUBSTITUTE(CONCATENATE(SUBSTITUTE(SUBSTITUTE(A15,"歳","")," ",""),"_男")," ",""),[11]データ貼り付けシート!$1:$2,2,FALSE)</f>
        <v>355</v>
      </c>
      <c r="C15" s="124">
        <f>HLOOKUP(SUBSTITUTE(CONCATENATE(SUBSTITUTE(SUBSTITUTE(A15,"歳","")," ",""),"_女")," ",""),[11]データ貼り付けシート!$1:$2,2,FALSE)</f>
        <v>386</v>
      </c>
      <c r="D15" s="124">
        <f>HLOOKUP(SUBSTITUTE(CONCATENATE(SUBSTITUTE(SUBSTITUTE(A15,"歳","")," ",""),"_全体")," ",""),[11]データ貼り付けシート!$1:$2,2,FALSE)</f>
        <v>741</v>
      </c>
      <c r="E15" s="122"/>
    </row>
    <row r="16" spans="1:7" x14ac:dyDescent="0.4">
      <c r="A16" s="123" t="s">
        <v>17</v>
      </c>
      <c r="B16" s="124">
        <f>HLOOKUP(SUBSTITUTE(CONCATENATE(SUBSTITUTE(SUBSTITUTE(A16,"歳","")," ",""),"_男")," ",""),[11]データ貼り付けシート!$1:$2,2,FALSE)</f>
        <v>405</v>
      </c>
      <c r="C16" s="124">
        <f>HLOOKUP(SUBSTITUTE(CONCATENATE(SUBSTITUTE(SUBSTITUTE(A16,"歳","")," ",""),"_女")," ",""),[11]データ貼り付けシート!$1:$2,2,FALSE)</f>
        <v>337</v>
      </c>
      <c r="D16" s="124">
        <f>HLOOKUP(SUBSTITUTE(CONCATENATE(SUBSTITUTE(SUBSTITUTE(A16,"歳","")," ",""),"_全体")," ",""),[11]データ貼り付けシート!$1:$2,2,FALSE)</f>
        <v>742</v>
      </c>
      <c r="E16" s="122"/>
    </row>
    <row r="17" spans="1:5" x14ac:dyDescent="0.4">
      <c r="A17" s="123" t="s">
        <v>18</v>
      </c>
      <c r="B17" s="124">
        <f>HLOOKUP(SUBSTITUTE(CONCATENATE(SUBSTITUTE(SUBSTITUTE(A17,"歳","")," ",""),"_男")," ",""),[11]データ貼り付けシート!$1:$2,2,FALSE)</f>
        <v>401</v>
      </c>
      <c r="C17" s="124">
        <f>HLOOKUP(SUBSTITUTE(CONCATENATE(SUBSTITUTE(SUBSTITUTE(A17,"歳","")," ",""),"_女")," ",""),[11]データ貼り付けシート!$1:$2,2,FALSE)</f>
        <v>385</v>
      </c>
      <c r="D17" s="124">
        <f>HLOOKUP(SUBSTITUTE(CONCATENATE(SUBSTITUTE(SUBSTITUTE(A17,"歳","")," ",""),"_全体")," ",""),[11]データ貼り付けシート!$1:$2,2,FALSE)</f>
        <v>786</v>
      </c>
      <c r="E17" s="122"/>
    </row>
    <row r="18" spans="1:5" x14ac:dyDescent="0.4">
      <c r="A18" s="123" t="s">
        <v>19</v>
      </c>
      <c r="B18" s="124">
        <f>HLOOKUP(SUBSTITUTE(CONCATENATE(SUBSTITUTE(SUBSTITUTE(A18,"歳","")," ",""),"_男")," ",""),[11]データ貼り付けシート!$1:$2,2,FALSE)</f>
        <v>403</v>
      </c>
      <c r="C18" s="124">
        <f>HLOOKUP(SUBSTITUTE(CONCATENATE(SUBSTITUTE(SUBSTITUTE(A18,"歳","")," ",""),"_女")," ",""),[11]データ貼り付けシート!$1:$2,2,FALSE)</f>
        <v>359</v>
      </c>
      <c r="D18" s="124">
        <f>HLOOKUP(SUBSTITUTE(CONCATENATE(SUBSTITUTE(SUBSTITUTE(A18,"歳","")," ",""),"_全体")," ",""),[11]データ貼り付けシート!$1:$2,2,FALSE)</f>
        <v>762</v>
      </c>
      <c r="E18" s="122"/>
    </row>
    <row r="19" spans="1:5" x14ac:dyDescent="0.4">
      <c r="A19" s="123" t="s">
        <v>20</v>
      </c>
      <c r="B19" s="124">
        <f>HLOOKUP(SUBSTITUTE(CONCATENATE(SUBSTITUTE(SUBSTITUTE(A19,"歳","")," ",""),"_男")," ",""),[11]データ貼り付けシート!$1:$2,2,FALSE)</f>
        <v>366</v>
      </c>
      <c r="C19" s="124">
        <f>HLOOKUP(SUBSTITUTE(CONCATENATE(SUBSTITUTE(SUBSTITUTE(A19,"歳","")," ",""),"_女")," ",""),[11]データ貼り付けシート!$1:$2,2,FALSE)</f>
        <v>361</v>
      </c>
      <c r="D19" s="124">
        <f>HLOOKUP(SUBSTITUTE(CONCATENATE(SUBSTITUTE(SUBSTITUTE(A19,"歳","")," ",""),"_全体")," ",""),[11]データ貼り付けシート!$1:$2,2,FALSE)</f>
        <v>727</v>
      </c>
      <c r="E19" s="122"/>
    </row>
    <row r="20" spans="1:5" x14ac:dyDescent="0.4">
      <c r="A20" s="123" t="s">
        <v>21</v>
      </c>
      <c r="B20" s="124">
        <f>HLOOKUP(SUBSTITUTE(CONCATENATE(SUBSTITUTE(SUBSTITUTE(A20,"歳","")," ",""),"_男")," ",""),[11]データ貼り付けシート!$1:$2,2,FALSE)</f>
        <v>402</v>
      </c>
      <c r="C20" s="124">
        <f>HLOOKUP(SUBSTITUTE(CONCATENATE(SUBSTITUTE(SUBSTITUTE(A20,"歳","")," ",""),"_女")," ",""),[11]データ貼り付けシート!$1:$2,2,FALSE)</f>
        <v>408</v>
      </c>
      <c r="D20" s="124">
        <f>HLOOKUP(SUBSTITUTE(CONCATENATE(SUBSTITUTE(SUBSTITUTE(A20,"歳","")," ",""),"_全体")," ",""),[11]データ貼り付けシート!$1:$2,2,FALSE)</f>
        <v>810</v>
      </c>
      <c r="E20" s="122"/>
    </row>
    <row r="21" spans="1:5" x14ac:dyDescent="0.4">
      <c r="A21" s="123" t="s">
        <v>22</v>
      </c>
      <c r="B21" s="124">
        <f>HLOOKUP(SUBSTITUTE(CONCATENATE(SUBSTITUTE(SUBSTITUTE(A21,"歳","")," ",""),"_男")," ",""),[11]データ貼り付けシート!$1:$2,2,FALSE)</f>
        <v>452</v>
      </c>
      <c r="C21" s="124">
        <f>HLOOKUP(SUBSTITUTE(CONCATENATE(SUBSTITUTE(SUBSTITUTE(A21,"歳","")," ",""),"_女")," ",""),[11]データ貼り付けシート!$1:$2,2,FALSE)</f>
        <v>386</v>
      </c>
      <c r="D21" s="124">
        <f>HLOOKUP(SUBSTITUTE(CONCATENATE(SUBSTITUTE(SUBSTITUTE(A21,"歳","")," ",""),"_全体")," ",""),[11]データ貼り付けシート!$1:$2,2,FALSE)</f>
        <v>838</v>
      </c>
      <c r="E21" s="122"/>
    </row>
    <row r="22" spans="1:5" x14ac:dyDescent="0.4">
      <c r="A22" s="123" t="s">
        <v>23</v>
      </c>
      <c r="B22" s="124">
        <f>HLOOKUP(SUBSTITUTE(CONCATENATE(SUBSTITUTE(SUBSTITUTE(A22,"歳","")," ",""),"_男")," ",""),[11]データ貼り付けシート!$1:$2,2,FALSE)</f>
        <v>445</v>
      </c>
      <c r="C22" s="124">
        <f>HLOOKUP(SUBSTITUTE(CONCATENATE(SUBSTITUTE(SUBSTITUTE(A22,"歳","")," ",""),"_女")," ",""),[11]データ貼り付けシート!$1:$2,2,FALSE)</f>
        <v>419</v>
      </c>
      <c r="D22" s="124">
        <f>HLOOKUP(SUBSTITUTE(CONCATENATE(SUBSTITUTE(SUBSTITUTE(A22,"歳","")," ",""),"_全体")," ",""),[11]データ貼り付けシート!$1:$2,2,FALSE)</f>
        <v>864</v>
      </c>
      <c r="E22" s="122"/>
    </row>
    <row r="23" spans="1:5" x14ac:dyDescent="0.4">
      <c r="A23" s="123" t="s">
        <v>24</v>
      </c>
      <c r="B23" s="124">
        <f>HLOOKUP(SUBSTITUTE(CONCATENATE(SUBSTITUTE(SUBSTITUTE(A23,"歳","")," ",""),"_男")," ",""),[11]データ貼り付けシート!$1:$2,2,FALSE)</f>
        <v>485</v>
      </c>
      <c r="C23" s="124">
        <f>HLOOKUP(SUBSTITUTE(CONCATENATE(SUBSTITUTE(SUBSTITUTE(A23,"歳","")," ",""),"_女")," ",""),[11]データ貼り付けシート!$1:$2,2,FALSE)</f>
        <v>438</v>
      </c>
      <c r="D23" s="124">
        <f>HLOOKUP(SUBSTITUTE(CONCATENATE(SUBSTITUTE(SUBSTITUTE(A23,"歳","")," ",""),"_全体")," ",""),[11]データ貼り付けシート!$1:$2,2,FALSE)</f>
        <v>923</v>
      </c>
      <c r="E23" s="122"/>
    </row>
    <row r="24" spans="1:5" x14ac:dyDescent="0.4">
      <c r="A24" s="123" t="s">
        <v>25</v>
      </c>
      <c r="B24" s="124">
        <f>HLOOKUP(SUBSTITUTE(CONCATENATE(SUBSTITUTE(SUBSTITUTE(A24,"歳","")," ",""),"_男")," ",""),[11]データ貼り付けシート!$1:$2,2,FALSE)</f>
        <v>490</v>
      </c>
      <c r="C24" s="124">
        <f>HLOOKUP(SUBSTITUTE(CONCATENATE(SUBSTITUTE(SUBSTITUTE(A24,"歳","")," ",""),"_女")," ",""),[11]データ貼り付けシート!$1:$2,2,FALSE)</f>
        <v>427</v>
      </c>
      <c r="D24" s="124">
        <f>HLOOKUP(SUBSTITUTE(CONCATENATE(SUBSTITUTE(SUBSTITUTE(A24,"歳","")," ",""),"_全体")," ",""),[11]データ貼り付けシート!$1:$2,2,FALSE)</f>
        <v>917</v>
      </c>
      <c r="E24" s="122"/>
    </row>
    <row r="25" spans="1:5" x14ac:dyDescent="0.4">
      <c r="A25" s="123" t="s">
        <v>26</v>
      </c>
      <c r="B25" s="124">
        <f>HLOOKUP(SUBSTITUTE(CONCATENATE(SUBSTITUTE(SUBSTITUTE(A25,"歳","")," ",""),"_男")," ",""),[11]データ貼り付けシート!$1:$2,2,FALSE)</f>
        <v>467</v>
      </c>
      <c r="C25" s="124">
        <f>HLOOKUP(SUBSTITUTE(CONCATENATE(SUBSTITUTE(SUBSTITUTE(A25,"歳","")," ",""),"_女")," ",""),[11]データ貼り付けシート!$1:$2,2,FALSE)</f>
        <v>463</v>
      </c>
      <c r="D25" s="124">
        <f>HLOOKUP(SUBSTITUTE(CONCATENATE(SUBSTITUTE(SUBSTITUTE(A25,"歳","")," ",""),"_全体")," ",""),[11]データ貼り付けシート!$1:$2,2,FALSE)</f>
        <v>930</v>
      </c>
      <c r="E25" s="122"/>
    </row>
    <row r="26" spans="1:5" x14ac:dyDescent="0.4">
      <c r="A26" s="123" t="s">
        <v>27</v>
      </c>
      <c r="B26" s="124">
        <f>HLOOKUP(SUBSTITUTE(CONCATENATE(SUBSTITUTE(SUBSTITUTE(A26,"歳","")," ",""),"_男")," ",""),[11]データ貼り付けシート!$1:$2,2,FALSE)</f>
        <v>504</v>
      </c>
      <c r="C26" s="124">
        <f>HLOOKUP(SUBSTITUTE(CONCATENATE(SUBSTITUTE(SUBSTITUTE(A26,"歳","")," ",""),"_女")," ",""),[11]データ貼り付けシート!$1:$2,2,FALSE)</f>
        <v>479</v>
      </c>
      <c r="D26" s="124">
        <f>HLOOKUP(SUBSTITUTE(CONCATENATE(SUBSTITUTE(SUBSTITUTE(A26,"歳","")," ",""),"_全体")," ",""),[11]データ貼り付けシート!$1:$2,2,FALSE)</f>
        <v>983</v>
      </c>
      <c r="E26" s="122"/>
    </row>
    <row r="27" spans="1:5" x14ac:dyDescent="0.4">
      <c r="A27" s="123" t="s">
        <v>28</v>
      </c>
      <c r="B27" s="124">
        <f>HLOOKUP(SUBSTITUTE(CONCATENATE(SUBSTITUTE(SUBSTITUTE(A27,"歳","")," ",""),"_男")," ",""),[11]データ貼り付けシート!$1:$2,2,FALSE)</f>
        <v>506</v>
      </c>
      <c r="C27" s="124">
        <f>HLOOKUP(SUBSTITUTE(CONCATENATE(SUBSTITUTE(SUBSTITUTE(A27,"歳","")," ",""),"_女")," ",""),[11]データ貼り付けシート!$1:$2,2,FALSE)</f>
        <v>429</v>
      </c>
      <c r="D27" s="124">
        <f>HLOOKUP(SUBSTITUTE(CONCATENATE(SUBSTITUTE(SUBSTITUTE(A27,"歳","")," ",""),"_全体")," ",""),[11]データ貼り付けシート!$1:$2,2,FALSE)</f>
        <v>935</v>
      </c>
      <c r="E27" s="122"/>
    </row>
    <row r="28" spans="1:5" x14ac:dyDescent="0.4">
      <c r="A28" s="123" t="s">
        <v>29</v>
      </c>
      <c r="B28" s="124">
        <f>HLOOKUP(SUBSTITUTE(CONCATENATE(SUBSTITUTE(SUBSTITUTE(A28,"歳","")," ",""),"_男")," ",""),[11]データ貼り付けシート!$1:$2,2,FALSE)</f>
        <v>518</v>
      </c>
      <c r="C28" s="124">
        <f>HLOOKUP(SUBSTITUTE(CONCATENATE(SUBSTITUTE(SUBSTITUTE(A28,"歳","")," ",""),"_女")," ",""),[11]データ貼り付けシート!$1:$2,2,FALSE)</f>
        <v>451</v>
      </c>
      <c r="D28" s="124">
        <f>HLOOKUP(SUBSTITUTE(CONCATENATE(SUBSTITUTE(SUBSTITUTE(A28,"歳","")," ",""),"_全体")," ",""),[11]データ貼り付けシート!$1:$2,2,FALSE)</f>
        <v>969</v>
      </c>
      <c r="E28" s="122"/>
    </row>
    <row r="29" spans="1:5" x14ac:dyDescent="0.4">
      <c r="A29" s="123" t="s">
        <v>30</v>
      </c>
      <c r="B29" s="124">
        <f>HLOOKUP(SUBSTITUTE(CONCATENATE(SUBSTITUTE(SUBSTITUTE(A29,"歳","")," ",""),"_男")," ",""),[11]データ貼り付けシート!$1:$2,2,FALSE)</f>
        <v>533</v>
      </c>
      <c r="C29" s="124">
        <f>HLOOKUP(SUBSTITUTE(CONCATENATE(SUBSTITUTE(SUBSTITUTE(A29,"歳","")," ",""),"_女")," ",""),[11]データ貼り付けシート!$1:$2,2,FALSE)</f>
        <v>473</v>
      </c>
      <c r="D29" s="124">
        <f>HLOOKUP(SUBSTITUTE(CONCATENATE(SUBSTITUTE(SUBSTITUTE(A29,"歳","")," ",""),"_全体")," ",""),[11]データ貼り付けシート!$1:$2,2,FALSE)</f>
        <v>1006</v>
      </c>
      <c r="E29" s="122"/>
    </row>
    <row r="30" spans="1:5" x14ac:dyDescent="0.4">
      <c r="A30" s="123" t="s">
        <v>31</v>
      </c>
      <c r="B30" s="124">
        <f>HLOOKUP(SUBSTITUTE(CONCATENATE(SUBSTITUTE(SUBSTITUTE(A30,"歳","")," ",""),"_男")," ",""),[11]データ貼り付けシート!$1:$2,2,FALSE)</f>
        <v>477</v>
      </c>
      <c r="C30" s="124">
        <f>HLOOKUP(SUBSTITUTE(CONCATENATE(SUBSTITUTE(SUBSTITUTE(A30,"歳","")," ",""),"_女")," ",""),[11]データ貼り付けシート!$1:$2,2,FALSE)</f>
        <v>488</v>
      </c>
      <c r="D30" s="124">
        <f>HLOOKUP(SUBSTITUTE(CONCATENATE(SUBSTITUTE(SUBSTITUTE(A30,"歳","")," ",""),"_全体")," ",""),[11]データ貼り付けシート!$1:$2,2,FALSE)</f>
        <v>965</v>
      </c>
      <c r="E30" s="122"/>
    </row>
    <row r="31" spans="1:5" x14ac:dyDescent="0.4">
      <c r="A31" s="123" t="s">
        <v>32</v>
      </c>
      <c r="B31" s="124">
        <f>HLOOKUP(SUBSTITUTE(CONCATENATE(SUBSTITUTE(SUBSTITUTE(A31,"歳","")," ",""),"_男")," ",""),[11]データ貼り付けシート!$1:$2,2,FALSE)</f>
        <v>553</v>
      </c>
      <c r="C31" s="124">
        <f>HLOOKUP(SUBSTITUTE(CONCATENATE(SUBSTITUTE(SUBSTITUTE(A31,"歳","")," ",""),"_女")," ",""),[11]データ貼り付けシート!$1:$2,2,FALSE)</f>
        <v>502</v>
      </c>
      <c r="D31" s="124">
        <f>HLOOKUP(SUBSTITUTE(CONCATENATE(SUBSTITUTE(SUBSTITUTE(A31,"歳","")," ",""),"_全体")," ",""),[11]データ貼り付けシート!$1:$2,2,FALSE)</f>
        <v>1055</v>
      </c>
      <c r="E31" s="122"/>
    </row>
    <row r="32" spans="1:5" x14ac:dyDescent="0.4">
      <c r="A32" s="123" t="s">
        <v>33</v>
      </c>
      <c r="B32" s="124">
        <f>HLOOKUP(SUBSTITUTE(CONCATENATE(SUBSTITUTE(SUBSTITUTE(A32,"歳","")," ",""),"_男")," ",""),[11]データ貼り付けシート!$1:$2,2,FALSE)</f>
        <v>526</v>
      </c>
      <c r="C32" s="124">
        <f>HLOOKUP(SUBSTITUTE(CONCATENATE(SUBSTITUTE(SUBSTITUTE(A32,"歳","")," ",""),"_女")," ",""),[11]データ貼り付けシート!$1:$2,2,FALSE)</f>
        <v>547</v>
      </c>
      <c r="D32" s="124">
        <f>HLOOKUP(SUBSTITUTE(CONCATENATE(SUBSTITUTE(SUBSTITUTE(A32,"歳","")," ",""),"_全体")," ",""),[11]データ貼り付けシート!$1:$2,2,FALSE)</f>
        <v>1073</v>
      </c>
      <c r="E32" s="122"/>
    </row>
    <row r="33" spans="1:5" x14ac:dyDescent="0.4">
      <c r="A33" s="123" t="s">
        <v>34</v>
      </c>
      <c r="B33" s="124">
        <f>HLOOKUP(SUBSTITUTE(CONCATENATE(SUBSTITUTE(SUBSTITUTE(A33,"歳","")," ",""),"_男")," ",""),[11]データ貼り付けシート!$1:$2,2,FALSE)</f>
        <v>528</v>
      </c>
      <c r="C33" s="124">
        <f>HLOOKUP(SUBSTITUTE(CONCATENATE(SUBSTITUTE(SUBSTITUTE(A33,"歳","")," ",""),"_女")," ",""),[11]データ貼り付けシート!$1:$2,2,FALSE)</f>
        <v>504</v>
      </c>
      <c r="D33" s="124">
        <f>HLOOKUP(SUBSTITUTE(CONCATENATE(SUBSTITUTE(SUBSTITUTE(A33,"歳","")," ",""),"_全体")," ",""),[11]データ貼り付けシート!$1:$2,2,FALSE)</f>
        <v>1032</v>
      </c>
      <c r="E33" s="122"/>
    </row>
    <row r="34" spans="1:5" x14ac:dyDescent="0.4">
      <c r="A34" s="123" t="s">
        <v>35</v>
      </c>
      <c r="B34" s="124">
        <f>HLOOKUP(SUBSTITUTE(CONCATENATE(SUBSTITUTE(SUBSTITUTE(A34,"歳","")," ",""),"_男")," ",""),[11]データ貼り付けシート!$1:$2,2,FALSE)</f>
        <v>600</v>
      </c>
      <c r="C34" s="124">
        <f>HLOOKUP(SUBSTITUTE(CONCATENATE(SUBSTITUTE(SUBSTITUTE(A34,"歳","")," ",""),"_女")," ",""),[11]データ貼り付けシート!$1:$2,2,FALSE)</f>
        <v>560</v>
      </c>
      <c r="D34" s="124">
        <f>HLOOKUP(SUBSTITUTE(CONCATENATE(SUBSTITUTE(SUBSTITUTE(A34,"歳","")," ",""),"_全体")," ",""),[11]データ貼り付けシート!$1:$2,2,FALSE)</f>
        <v>1160</v>
      </c>
      <c r="E34" s="122"/>
    </row>
    <row r="35" spans="1:5" x14ac:dyDescent="0.4">
      <c r="A35" s="123" t="s">
        <v>36</v>
      </c>
      <c r="B35" s="124">
        <f>HLOOKUP(SUBSTITUTE(CONCATENATE(SUBSTITUTE(SUBSTITUTE(A35,"歳","")," ",""),"_男")," ",""),[11]データ貼り付けシート!$1:$2,2,FALSE)</f>
        <v>523</v>
      </c>
      <c r="C35" s="124">
        <f>HLOOKUP(SUBSTITUTE(CONCATENATE(SUBSTITUTE(SUBSTITUTE(A35,"歳","")," ",""),"_女")," ",""),[11]データ貼り付けシート!$1:$2,2,FALSE)</f>
        <v>520</v>
      </c>
      <c r="D35" s="124">
        <f>HLOOKUP(SUBSTITUTE(CONCATENATE(SUBSTITUTE(SUBSTITUTE(A35,"歳","")," ",""),"_全体")," ",""),[11]データ貼り付けシート!$1:$2,2,FALSE)</f>
        <v>1043</v>
      </c>
      <c r="E35" s="122"/>
    </row>
    <row r="36" spans="1:5" x14ac:dyDescent="0.4">
      <c r="A36" s="123" t="s">
        <v>37</v>
      </c>
      <c r="B36" s="124">
        <f>HLOOKUP(SUBSTITUTE(CONCATENATE(SUBSTITUTE(SUBSTITUTE(A36,"歳","")," ",""),"_男")," ",""),[11]データ貼り付けシート!$1:$2,2,FALSE)</f>
        <v>536</v>
      </c>
      <c r="C36" s="124">
        <f>HLOOKUP(SUBSTITUTE(CONCATENATE(SUBSTITUTE(SUBSTITUTE(A36,"歳","")," ",""),"_女")," ",""),[11]データ貼り付けシート!$1:$2,2,FALSE)</f>
        <v>532</v>
      </c>
      <c r="D36" s="124">
        <f>HLOOKUP(SUBSTITUTE(CONCATENATE(SUBSTITUTE(SUBSTITUTE(A36,"歳","")," ",""),"_全体")," ",""),[11]データ貼り付けシート!$1:$2,2,FALSE)</f>
        <v>1068</v>
      </c>
      <c r="E36" s="122"/>
    </row>
    <row r="37" spans="1:5" x14ac:dyDescent="0.4">
      <c r="A37" s="123" t="s">
        <v>38</v>
      </c>
      <c r="B37" s="124">
        <f>HLOOKUP(SUBSTITUTE(CONCATENATE(SUBSTITUTE(SUBSTITUTE(A37,"歳","")," ",""),"_男")," ",""),[11]データ貼り付けシート!$1:$2,2,FALSE)</f>
        <v>578</v>
      </c>
      <c r="C37" s="124">
        <f>HLOOKUP(SUBSTITUTE(CONCATENATE(SUBSTITUTE(SUBSTITUTE(A37,"歳","")," ",""),"_女")," ",""),[11]データ貼り付けシート!$1:$2,2,FALSE)</f>
        <v>546</v>
      </c>
      <c r="D37" s="124">
        <f>HLOOKUP(SUBSTITUTE(CONCATENATE(SUBSTITUTE(SUBSTITUTE(A37,"歳","")," ",""),"_全体")," ",""),[11]データ貼り付けシート!$1:$2,2,FALSE)</f>
        <v>1124</v>
      </c>
      <c r="E37" s="122"/>
    </row>
    <row r="38" spans="1:5" x14ac:dyDescent="0.4">
      <c r="A38" s="123" t="s">
        <v>39</v>
      </c>
      <c r="B38" s="124">
        <f>HLOOKUP(SUBSTITUTE(CONCATENATE(SUBSTITUTE(SUBSTITUTE(A38,"歳","")," ",""),"_男")," ",""),[11]データ貼り付けシート!$1:$2,2,FALSE)</f>
        <v>580</v>
      </c>
      <c r="C38" s="124">
        <f>HLOOKUP(SUBSTITUTE(CONCATENATE(SUBSTITUTE(SUBSTITUTE(A38,"歳","")," ",""),"_女")," ",""),[11]データ貼り付けシート!$1:$2,2,FALSE)</f>
        <v>494</v>
      </c>
      <c r="D38" s="124">
        <f>HLOOKUP(SUBSTITUTE(CONCATENATE(SUBSTITUTE(SUBSTITUTE(A38,"歳","")," ",""),"_全体")," ",""),[11]データ貼り付けシート!$1:$2,2,FALSE)</f>
        <v>1074</v>
      </c>
      <c r="E38" s="122"/>
    </row>
    <row r="39" spans="1:5" x14ac:dyDescent="0.4">
      <c r="A39" s="123" t="s">
        <v>40</v>
      </c>
      <c r="B39" s="124">
        <f>HLOOKUP(SUBSTITUTE(CONCATENATE(SUBSTITUTE(SUBSTITUTE(A39,"歳","")," ",""),"_男")," ",""),[11]データ貼り付けシート!$1:$2,2,FALSE)</f>
        <v>567</v>
      </c>
      <c r="C39" s="124">
        <f>HLOOKUP(SUBSTITUTE(CONCATENATE(SUBSTITUTE(SUBSTITUTE(A39,"歳","")," ",""),"_女")," ",""),[11]データ貼り付けシート!$1:$2,2,FALSE)</f>
        <v>546</v>
      </c>
      <c r="D39" s="124">
        <f>HLOOKUP(SUBSTITUTE(CONCATENATE(SUBSTITUTE(SUBSTITUTE(A39,"歳","")," ",""),"_全体")," ",""),[11]データ貼り付けシート!$1:$2,2,FALSE)</f>
        <v>1113</v>
      </c>
      <c r="E39" s="122"/>
    </row>
    <row r="40" spans="1:5" x14ac:dyDescent="0.4">
      <c r="A40" s="123" t="s">
        <v>41</v>
      </c>
      <c r="B40" s="124">
        <f>HLOOKUP(SUBSTITUTE(CONCATENATE(SUBSTITUTE(SUBSTITUTE(A40,"歳","")," ",""),"_男")," ",""),[11]データ貼り付けシート!$1:$2,2,FALSE)</f>
        <v>593</v>
      </c>
      <c r="C40" s="124">
        <f>HLOOKUP(SUBSTITUTE(CONCATENATE(SUBSTITUTE(SUBSTITUTE(A40,"歳","")," ",""),"_女")," ",""),[11]データ貼り付けシート!$1:$2,2,FALSE)</f>
        <v>567</v>
      </c>
      <c r="D40" s="124">
        <f>HLOOKUP(SUBSTITUTE(CONCATENATE(SUBSTITUTE(SUBSTITUTE(A40,"歳","")," ",""),"_全体")," ",""),[11]データ貼り付けシート!$1:$2,2,FALSE)</f>
        <v>1160</v>
      </c>
      <c r="E40" s="122"/>
    </row>
    <row r="41" spans="1:5" x14ac:dyDescent="0.4">
      <c r="A41" s="123" t="s">
        <v>42</v>
      </c>
      <c r="B41" s="124">
        <f>HLOOKUP(SUBSTITUTE(CONCATENATE(SUBSTITUTE(SUBSTITUTE(A41,"歳","")," ",""),"_男")," ",""),[11]データ貼り付けシート!$1:$2,2,FALSE)</f>
        <v>566</v>
      </c>
      <c r="C41" s="124">
        <f>HLOOKUP(SUBSTITUTE(CONCATENATE(SUBSTITUTE(SUBSTITUTE(A41,"歳","")," ",""),"_女")," ",""),[11]データ貼り付けシート!$1:$2,2,FALSE)</f>
        <v>556</v>
      </c>
      <c r="D41" s="124">
        <f>HLOOKUP(SUBSTITUTE(CONCATENATE(SUBSTITUTE(SUBSTITUTE(A41,"歳","")," ",""),"_全体")," ",""),[11]データ貼り付けシート!$1:$2,2,FALSE)</f>
        <v>1122</v>
      </c>
      <c r="E41" s="122"/>
    </row>
    <row r="42" spans="1:5" x14ac:dyDescent="0.4">
      <c r="A42" s="123" t="s">
        <v>43</v>
      </c>
      <c r="B42" s="124">
        <f>HLOOKUP(SUBSTITUTE(CONCATENATE(SUBSTITUTE(SUBSTITUTE(A42,"歳","")," ",""),"_男")," ",""),[11]データ貼り付けシート!$1:$2,2,FALSE)</f>
        <v>580</v>
      </c>
      <c r="C42" s="124">
        <f>HLOOKUP(SUBSTITUTE(CONCATENATE(SUBSTITUTE(SUBSTITUTE(A42,"歳","")," ",""),"_女")," ",""),[11]データ貼り付けシート!$1:$2,2,FALSE)</f>
        <v>524</v>
      </c>
      <c r="D42" s="124">
        <f>HLOOKUP(SUBSTITUTE(CONCATENATE(SUBSTITUTE(SUBSTITUTE(A42,"歳","")," ",""),"_全体")," ",""),[11]データ貼り付けシート!$1:$2,2,FALSE)</f>
        <v>1104</v>
      </c>
      <c r="E42" s="122"/>
    </row>
    <row r="43" spans="1:5" x14ac:dyDescent="0.4">
      <c r="A43" s="123" t="s">
        <v>44</v>
      </c>
      <c r="B43" s="124">
        <f>HLOOKUP(SUBSTITUTE(CONCATENATE(SUBSTITUTE(SUBSTITUTE(A43,"歳","")," ",""),"_男")," ",""),[11]データ貼り付けシート!$1:$2,2,FALSE)</f>
        <v>559</v>
      </c>
      <c r="C43" s="124">
        <f>HLOOKUP(SUBSTITUTE(CONCATENATE(SUBSTITUTE(SUBSTITUTE(A43,"歳","")," ",""),"_女")," ",""),[11]データ貼り付けシート!$1:$2,2,FALSE)</f>
        <v>566</v>
      </c>
      <c r="D43" s="124">
        <f>HLOOKUP(SUBSTITUTE(CONCATENATE(SUBSTITUTE(SUBSTITUTE(A43,"歳","")," ",""),"_全体")," ",""),[11]データ貼り付けシート!$1:$2,2,FALSE)</f>
        <v>1125</v>
      </c>
      <c r="E43" s="122"/>
    </row>
    <row r="44" spans="1:5" x14ac:dyDescent="0.4">
      <c r="A44" s="123" t="s">
        <v>45</v>
      </c>
      <c r="B44" s="124">
        <f>HLOOKUP(SUBSTITUTE(CONCATENATE(SUBSTITUTE(SUBSTITUTE(A44,"歳","")," ",""),"_男")," ",""),[11]データ貼り付けシート!$1:$2,2,FALSE)</f>
        <v>611</v>
      </c>
      <c r="C44" s="124">
        <f>HLOOKUP(SUBSTITUTE(CONCATENATE(SUBSTITUTE(SUBSTITUTE(A44,"歳","")," ",""),"_女")," ",""),[11]データ貼り付けシート!$1:$2,2,FALSE)</f>
        <v>565</v>
      </c>
      <c r="D44" s="124">
        <f>HLOOKUP(SUBSTITUTE(CONCATENATE(SUBSTITUTE(SUBSTITUTE(A44,"歳","")," ",""),"_全体")," ",""),[11]データ貼り付けシート!$1:$2,2,FALSE)</f>
        <v>1176</v>
      </c>
      <c r="E44" s="122"/>
    </row>
    <row r="45" spans="1:5" x14ac:dyDescent="0.4">
      <c r="A45" s="123" t="s">
        <v>46</v>
      </c>
      <c r="B45" s="124">
        <f>HLOOKUP(SUBSTITUTE(CONCATENATE(SUBSTITUTE(SUBSTITUTE(A45,"歳","")," ",""),"_男")," ",""),[11]データ貼り付けシート!$1:$2,2,FALSE)</f>
        <v>630</v>
      </c>
      <c r="C45" s="124">
        <f>HLOOKUP(SUBSTITUTE(CONCATENATE(SUBSTITUTE(SUBSTITUTE(A45,"歳","")," ",""),"_女")," ",""),[11]データ貼り付けシート!$1:$2,2,FALSE)</f>
        <v>596</v>
      </c>
      <c r="D45" s="124">
        <f>HLOOKUP(SUBSTITUTE(CONCATENATE(SUBSTITUTE(SUBSTITUTE(A45,"歳","")," ",""),"_全体")," ",""),[11]データ貼り付けシート!$1:$2,2,FALSE)</f>
        <v>1226</v>
      </c>
      <c r="E45" s="122"/>
    </row>
    <row r="46" spans="1:5" x14ac:dyDescent="0.4">
      <c r="A46" s="123" t="s">
        <v>47</v>
      </c>
      <c r="B46" s="124">
        <f>HLOOKUP(SUBSTITUTE(CONCATENATE(SUBSTITUTE(SUBSTITUTE(A46,"歳","")," ",""),"_男")," ",""),[11]データ貼り付けシート!$1:$2,2,FALSE)</f>
        <v>693</v>
      </c>
      <c r="C46" s="124">
        <f>HLOOKUP(SUBSTITUTE(CONCATENATE(SUBSTITUTE(SUBSTITUTE(A46,"歳","")," ",""),"_女")," ",""),[11]データ貼り付けシート!$1:$2,2,FALSE)</f>
        <v>625</v>
      </c>
      <c r="D46" s="124">
        <f>HLOOKUP(SUBSTITUTE(CONCATENATE(SUBSTITUTE(SUBSTITUTE(A46,"歳","")," ",""),"_全体")," ",""),[11]データ貼り付けシート!$1:$2,2,FALSE)</f>
        <v>1318</v>
      </c>
      <c r="E46" s="122"/>
    </row>
    <row r="47" spans="1:5" x14ac:dyDescent="0.4">
      <c r="A47" s="123" t="s">
        <v>48</v>
      </c>
      <c r="B47" s="124">
        <f>HLOOKUP(SUBSTITUTE(CONCATENATE(SUBSTITUTE(SUBSTITUTE(A47,"歳","")," ",""),"_男")," ",""),[11]データ貼り付けシート!$1:$2,2,FALSE)</f>
        <v>700</v>
      </c>
      <c r="C47" s="124">
        <f>HLOOKUP(SUBSTITUTE(CONCATENATE(SUBSTITUTE(SUBSTITUTE(A47,"歳","")," ",""),"_女")," ",""),[11]データ貼り付けシート!$1:$2,2,FALSE)</f>
        <v>676</v>
      </c>
      <c r="D47" s="124">
        <f>HLOOKUP(SUBSTITUTE(CONCATENATE(SUBSTITUTE(SUBSTITUTE(A47,"歳","")," ",""),"_全体")," ",""),[11]データ貼り付けシート!$1:$2,2,FALSE)</f>
        <v>1376</v>
      </c>
      <c r="E47" s="122"/>
    </row>
    <row r="48" spans="1:5" x14ac:dyDescent="0.4">
      <c r="A48" s="123" t="s">
        <v>49</v>
      </c>
      <c r="B48" s="124">
        <f>HLOOKUP(SUBSTITUTE(CONCATENATE(SUBSTITUTE(SUBSTITUTE(A48,"歳","")," ",""),"_男")," ",""),[11]データ貼り付けシート!$1:$2,2,FALSE)</f>
        <v>804</v>
      </c>
      <c r="C48" s="124">
        <f>HLOOKUP(SUBSTITUTE(CONCATENATE(SUBSTITUTE(SUBSTITUTE(A48,"歳","")," ",""),"_女")," ",""),[11]データ貼り付けシート!$1:$2,2,FALSE)</f>
        <v>708</v>
      </c>
      <c r="D48" s="124">
        <f>HLOOKUP(SUBSTITUTE(CONCATENATE(SUBSTITUTE(SUBSTITUTE(A48,"歳","")," ",""),"_全体")," ",""),[11]データ貼り付けシート!$1:$2,2,FALSE)</f>
        <v>1512</v>
      </c>
      <c r="E48" s="122"/>
    </row>
    <row r="49" spans="1:5" x14ac:dyDescent="0.4">
      <c r="A49" s="123" t="s">
        <v>50</v>
      </c>
      <c r="B49" s="124">
        <f>HLOOKUP(SUBSTITUTE(CONCATENATE(SUBSTITUTE(SUBSTITUTE(A49,"歳","")," ",""),"_男")," ",""),[11]データ貼り付けシート!$1:$2,2,FALSE)</f>
        <v>893</v>
      </c>
      <c r="C49" s="124">
        <f>HLOOKUP(SUBSTITUTE(CONCATENATE(SUBSTITUTE(SUBSTITUTE(A49,"歳","")," ",""),"_女")," ",""),[11]データ貼り付けシート!$1:$2,2,FALSE)</f>
        <v>754</v>
      </c>
      <c r="D49" s="124">
        <f>HLOOKUP(SUBSTITUTE(CONCATENATE(SUBSTITUTE(SUBSTITUTE(A49,"歳","")," ",""),"_全体")," ",""),[11]データ貼り付けシート!$1:$2,2,FALSE)</f>
        <v>1647</v>
      </c>
      <c r="E49" s="122"/>
    </row>
    <row r="50" spans="1:5" x14ac:dyDescent="0.4">
      <c r="A50" s="123" t="s">
        <v>51</v>
      </c>
      <c r="B50" s="124">
        <f>HLOOKUP(SUBSTITUTE(CONCATENATE(SUBSTITUTE(SUBSTITUTE(A50,"歳","")," ",""),"_男")," ",""),[11]データ貼り付けシート!$1:$2,2,FALSE)</f>
        <v>815</v>
      </c>
      <c r="C50" s="124">
        <f>HLOOKUP(SUBSTITUTE(CONCATENATE(SUBSTITUTE(SUBSTITUTE(A50,"歳","")," ",""),"_女")," ",""),[11]データ貼り付けシート!$1:$2,2,FALSE)</f>
        <v>769</v>
      </c>
      <c r="D50" s="124">
        <f>HLOOKUP(SUBSTITUTE(CONCATENATE(SUBSTITUTE(SUBSTITUTE(A50,"歳","")," ",""),"_全体")," ",""),[11]データ貼り付けシート!$1:$2,2,FALSE)</f>
        <v>1584</v>
      </c>
      <c r="E50" s="122"/>
    </row>
    <row r="51" spans="1:5" x14ac:dyDescent="0.4">
      <c r="A51" s="123" t="s">
        <v>52</v>
      </c>
      <c r="B51" s="124">
        <f>HLOOKUP(SUBSTITUTE(CONCATENATE(SUBSTITUTE(SUBSTITUTE(A51,"歳","")," ",""),"_男")," ",""),[11]データ貼り付けシート!$1:$2,2,FALSE)</f>
        <v>799</v>
      </c>
      <c r="C51" s="124">
        <f>HLOOKUP(SUBSTITUTE(CONCATENATE(SUBSTITUTE(SUBSTITUTE(A51,"歳","")," ",""),"_女")," ",""),[11]データ貼り付けシート!$1:$2,2,FALSE)</f>
        <v>731</v>
      </c>
      <c r="D51" s="124">
        <f>HLOOKUP(SUBSTITUTE(CONCATENATE(SUBSTITUTE(SUBSTITUTE(A51,"歳","")," ",""),"_全体")," ",""),[11]データ貼り付けシート!$1:$2,2,FALSE)</f>
        <v>1530</v>
      </c>
      <c r="E51" s="122"/>
    </row>
    <row r="52" spans="1:5" x14ac:dyDescent="0.4">
      <c r="A52" s="123" t="s">
        <v>53</v>
      </c>
      <c r="B52" s="124">
        <f>HLOOKUP(SUBSTITUTE(CONCATENATE(SUBSTITUTE(SUBSTITUTE(A52,"歳","")," ",""),"_男")," ",""),[11]データ貼り付けシート!$1:$2,2,FALSE)</f>
        <v>740</v>
      </c>
      <c r="C52" s="124">
        <f>HLOOKUP(SUBSTITUTE(CONCATENATE(SUBSTITUTE(SUBSTITUTE(A52,"歳","")," ",""),"_女")," ",""),[11]データ貼り付けシート!$1:$2,2,FALSE)</f>
        <v>702</v>
      </c>
      <c r="D52" s="124">
        <f>HLOOKUP(SUBSTITUTE(CONCATENATE(SUBSTITUTE(SUBSTITUTE(A52,"歳","")," ",""),"_全体")," ",""),[11]データ貼り付けシート!$1:$2,2,FALSE)</f>
        <v>1442</v>
      </c>
      <c r="E52" s="122"/>
    </row>
    <row r="53" spans="1:5" x14ac:dyDescent="0.4">
      <c r="A53" s="123" t="s">
        <v>54</v>
      </c>
      <c r="B53" s="124">
        <f>HLOOKUP(SUBSTITUTE(CONCATENATE(SUBSTITUTE(SUBSTITUTE(A53,"歳","")," ",""),"_男")," ",""),[11]データ貼り付けシート!$1:$2,2,FALSE)</f>
        <v>738</v>
      </c>
      <c r="C53" s="124">
        <f>HLOOKUP(SUBSTITUTE(CONCATENATE(SUBSTITUTE(SUBSTITUTE(A53,"歳","")," ",""),"_女")," ",""),[11]データ貼り付けシート!$1:$2,2,FALSE)</f>
        <v>600</v>
      </c>
      <c r="D53" s="124">
        <f>HLOOKUP(SUBSTITUTE(CONCATENATE(SUBSTITUTE(SUBSTITUTE(A53,"歳","")," ",""),"_全体")," ",""),[11]データ貼り付けシート!$1:$2,2,FALSE)</f>
        <v>1338</v>
      </c>
      <c r="E53" s="122"/>
    </row>
    <row r="54" spans="1:5" x14ac:dyDescent="0.4">
      <c r="A54" s="123" t="s">
        <v>55</v>
      </c>
      <c r="B54" s="124">
        <f>HLOOKUP(SUBSTITUTE(CONCATENATE(SUBSTITUTE(SUBSTITUTE(A54,"歳","")," ",""),"_男")," ",""),[11]データ貼り付けシート!$1:$2,2,FALSE)</f>
        <v>673</v>
      </c>
      <c r="C54" s="124">
        <f>HLOOKUP(SUBSTITUTE(CONCATENATE(SUBSTITUTE(SUBSTITUTE(A54,"歳","")," ",""),"_女")," ",""),[11]データ貼り付けシート!$1:$2,2,FALSE)</f>
        <v>616</v>
      </c>
      <c r="D54" s="124">
        <f>HLOOKUP(SUBSTITUTE(CONCATENATE(SUBSTITUTE(SUBSTITUTE(A54,"歳","")," ",""),"_全体")," ",""),[11]データ貼り付けシート!$1:$2,2,FALSE)</f>
        <v>1289</v>
      </c>
      <c r="E54" s="122"/>
    </row>
    <row r="55" spans="1:5" x14ac:dyDescent="0.4">
      <c r="A55" s="123" t="s">
        <v>56</v>
      </c>
      <c r="B55" s="124">
        <f>HLOOKUP(SUBSTITUTE(CONCATENATE(SUBSTITUTE(SUBSTITUTE(A55,"歳","")," ",""),"_男")," ",""),[11]データ貼り付けシート!$1:$2,2,FALSE)</f>
        <v>688</v>
      </c>
      <c r="C55" s="124">
        <f>HLOOKUP(SUBSTITUTE(CONCATENATE(SUBSTITUTE(SUBSTITUTE(A55,"歳","")," ",""),"_女")," ",""),[11]データ貼り付けシート!$1:$2,2,FALSE)</f>
        <v>597</v>
      </c>
      <c r="D55" s="124">
        <f>HLOOKUP(SUBSTITUTE(CONCATENATE(SUBSTITUTE(SUBSTITUTE(A55,"歳","")," ",""),"_全体")," ",""),[11]データ貼り付けシート!$1:$2,2,FALSE)</f>
        <v>1285</v>
      </c>
      <c r="E55" s="122"/>
    </row>
    <row r="56" spans="1:5" x14ac:dyDescent="0.4">
      <c r="A56" s="123" t="s">
        <v>57</v>
      </c>
      <c r="B56" s="124">
        <f>HLOOKUP(SUBSTITUTE(CONCATENATE(SUBSTITUTE(SUBSTITUTE(A56,"歳","")," ",""),"_男")," ",""),[11]データ貼り付けシート!$1:$2,2,FALSE)</f>
        <v>499</v>
      </c>
      <c r="C56" s="124">
        <f>HLOOKUP(SUBSTITUTE(CONCATENATE(SUBSTITUTE(SUBSTITUTE(A56,"歳","")," ",""),"_女")," ",""),[11]データ貼り付けシート!$1:$2,2,FALSE)</f>
        <v>391</v>
      </c>
      <c r="D56" s="124">
        <f>HLOOKUP(SUBSTITUTE(CONCATENATE(SUBSTITUTE(SUBSTITUTE(A56,"歳","")," ",""),"_全体")," ",""),[11]データ貼り付けシート!$1:$2,2,FALSE)</f>
        <v>890</v>
      </c>
      <c r="E56" s="122"/>
    </row>
    <row r="57" spans="1:5" x14ac:dyDescent="0.4">
      <c r="A57" s="123" t="s">
        <v>58</v>
      </c>
      <c r="B57" s="124">
        <f>HLOOKUP(SUBSTITUTE(CONCATENATE(SUBSTITUTE(SUBSTITUTE(A57,"歳","")," ",""),"_男")," ",""),[11]データ貼り付けシート!$1:$2,2,FALSE)</f>
        <v>565</v>
      </c>
      <c r="C57" s="124">
        <f>HLOOKUP(SUBSTITUTE(CONCATENATE(SUBSTITUTE(SUBSTITUTE(A57,"歳","")," ",""),"_女")," ",""),[11]データ貼り付けシート!$1:$2,2,FALSE)</f>
        <v>561</v>
      </c>
      <c r="D57" s="124">
        <f>HLOOKUP(SUBSTITUTE(CONCATENATE(SUBSTITUTE(SUBSTITUTE(A57,"歳","")," ",""),"_全体")," ",""),[11]データ貼り付けシート!$1:$2,2,FALSE)</f>
        <v>1126</v>
      </c>
      <c r="E57" s="122"/>
    </row>
    <row r="58" spans="1:5" x14ac:dyDescent="0.4">
      <c r="A58" s="123" t="s">
        <v>59</v>
      </c>
      <c r="B58" s="124">
        <f>HLOOKUP(SUBSTITUTE(CONCATENATE(SUBSTITUTE(SUBSTITUTE(A58,"歳","")," ",""),"_男")," ",""),[11]データ貼り付けシート!$1:$2,2,FALSE)</f>
        <v>514</v>
      </c>
      <c r="C58" s="124">
        <f>HLOOKUP(SUBSTITUTE(CONCATENATE(SUBSTITUTE(SUBSTITUTE(A58,"歳","")," ",""),"_女")," ",""),[11]データ貼り付けシート!$1:$2,2,FALSE)</f>
        <v>473</v>
      </c>
      <c r="D58" s="124">
        <f>HLOOKUP(SUBSTITUTE(CONCATENATE(SUBSTITUTE(SUBSTITUTE(A58,"歳","")," ",""),"_全体")," ",""),[11]データ貼り付けシート!$1:$2,2,FALSE)</f>
        <v>987</v>
      </c>
      <c r="E58" s="122"/>
    </row>
    <row r="59" spans="1:5" x14ac:dyDescent="0.4">
      <c r="A59" s="123" t="s">
        <v>60</v>
      </c>
      <c r="B59" s="124">
        <f>HLOOKUP(SUBSTITUTE(CONCATENATE(SUBSTITUTE(SUBSTITUTE(A59,"歳","")," ",""),"_男")," ",""),[11]データ貼り付けシート!$1:$2,2,FALSE)</f>
        <v>490</v>
      </c>
      <c r="C59" s="124">
        <f>HLOOKUP(SUBSTITUTE(CONCATENATE(SUBSTITUTE(SUBSTITUTE(A59,"歳","")," ",""),"_女")," ",""),[11]データ貼り付けシート!$1:$2,2,FALSE)</f>
        <v>467</v>
      </c>
      <c r="D59" s="124">
        <f>HLOOKUP(SUBSTITUTE(CONCATENATE(SUBSTITUTE(SUBSTITUTE(A59,"歳","")," ",""),"_全体")," ",""),[11]データ貼り付けシート!$1:$2,2,FALSE)</f>
        <v>957</v>
      </c>
      <c r="E59" s="122"/>
    </row>
    <row r="60" spans="1:5" x14ac:dyDescent="0.4">
      <c r="A60" s="123" t="s">
        <v>61</v>
      </c>
      <c r="B60" s="124">
        <f>HLOOKUP(SUBSTITUTE(CONCATENATE(SUBSTITUTE(SUBSTITUTE(A60,"歳","")," ",""),"_男")," ",""),[11]データ貼り付けシート!$1:$2,2,FALSE)</f>
        <v>482</v>
      </c>
      <c r="C60" s="124">
        <f>HLOOKUP(SUBSTITUTE(CONCATENATE(SUBSTITUTE(SUBSTITUTE(A60,"歳","")," ",""),"_女")," ",""),[11]データ貼り付けシート!$1:$2,2,FALSE)</f>
        <v>433</v>
      </c>
      <c r="D60" s="124">
        <f>HLOOKUP(SUBSTITUTE(CONCATENATE(SUBSTITUTE(SUBSTITUTE(A60,"歳","")," ",""),"_全体")," ",""),[11]データ貼り付けシート!$1:$2,2,FALSE)</f>
        <v>915</v>
      </c>
      <c r="E60" s="122"/>
    </row>
    <row r="61" spans="1:5" x14ac:dyDescent="0.4">
      <c r="A61" s="123" t="s">
        <v>62</v>
      </c>
      <c r="B61" s="124">
        <f>HLOOKUP(SUBSTITUTE(CONCATENATE(SUBSTITUTE(SUBSTITUTE(A61,"歳","")," ",""),"_男")," ",""),[11]データ貼り付けシート!$1:$2,2,FALSE)</f>
        <v>438</v>
      </c>
      <c r="C61" s="124">
        <f>HLOOKUP(SUBSTITUTE(CONCATENATE(SUBSTITUTE(SUBSTITUTE(A61,"歳","")," ",""),"_女")," ",""),[11]データ貼り付けシート!$1:$2,2,FALSE)</f>
        <v>420</v>
      </c>
      <c r="D61" s="124">
        <f>HLOOKUP(SUBSTITUTE(CONCATENATE(SUBSTITUTE(SUBSTITUTE(A61,"歳","")," ",""),"_全体")," ",""),[11]データ貼り付けシート!$1:$2,2,FALSE)</f>
        <v>858</v>
      </c>
      <c r="E61" s="122"/>
    </row>
    <row r="62" spans="1:5" x14ac:dyDescent="0.4">
      <c r="A62" s="123" t="s">
        <v>63</v>
      </c>
      <c r="B62" s="124">
        <f>HLOOKUP(SUBSTITUTE(CONCATENATE(SUBSTITUTE(SUBSTITUTE(A62,"歳","")," ",""),"_男")," ",""),[11]データ貼り付けシート!$1:$2,2,FALSE)</f>
        <v>418</v>
      </c>
      <c r="C62" s="124">
        <f>HLOOKUP(SUBSTITUTE(CONCATENATE(SUBSTITUTE(SUBSTITUTE(A62,"歳","")," ",""),"_女")," ",""),[11]データ貼り付けシート!$1:$2,2,FALSE)</f>
        <v>395</v>
      </c>
      <c r="D62" s="124">
        <f>HLOOKUP(SUBSTITUTE(CONCATENATE(SUBSTITUTE(SUBSTITUTE(A62,"歳","")," ",""),"_全体")," ",""),[11]データ貼り付けシート!$1:$2,2,FALSE)</f>
        <v>813</v>
      </c>
      <c r="E62" s="122"/>
    </row>
    <row r="63" spans="1:5" x14ac:dyDescent="0.4">
      <c r="A63" s="123" t="s">
        <v>64</v>
      </c>
      <c r="B63" s="124">
        <f>HLOOKUP(SUBSTITUTE(CONCATENATE(SUBSTITUTE(SUBSTITUTE(A63,"歳","")," ",""),"_男")," ",""),[11]データ貼り付けシート!$1:$2,2,FALSE)</f>
        <v>410</v>
      </c>
      <c r="C63" s="124">
        <f>HLOOKUP(SUBSTITUTE(CONCATENATE(SUBSTITUTE(SUBSTITUTE(A63,"歳","")," ",""),"_女")," ",""),[11]データ貼り付けシート!$1:$2,2,FALSE)</f>
        <v>397</v>
      </c>
      <c r="D63" s="124">
        <f>HLOOKUP(SUBSTITUTE(CONCATENATE(SUBSTITUTE(SUBSTITUTE(A63,"歳","")," ",""),"_全体")," ",""),[11]データ貼り付けシート!$1:$2,2,FALSE)</f>
        <v>807</v>
      </c>
      <c r="E63" s="122"/>
    </row>
    <row r="64" spans="1:5" x14ac:dyDescent="0.4">
      <c r="A64" s="123" t="s">
        <v>65</v>
      </c>
      <c r="B64" s="124">
        <f>HLOOKUP(SUBSTITUTE(CONCATENATE(SUBSTITUTE(SUBSTITUTE(A64,"歳","")," ",""),"_男")," ",""),[11]データ貼り付けシート!$1:$2,2,FALSE)</f>
        <v>457</v>
      </c>
      <c r="C64" s="124">
        <f>HLOOKUP(SUBSTITUTE(CONCATENATE(SUBSTITUTE(SUBSTITUTE(A64,"歳","")," ",""),"_女")," ",""),[11]データ貼り付けシート!$1:$2,2,FALSE)</f>
        <v>421</v>
      </c>
      <c r="D64" s="124">
        <f>HLOOKUP(SUBSTITUTE(CONCATENATE(SUBSTITUTE(SUBSTITUTE(A64,"歳","")," ",""),"_全体")," ",""),[11]データ貼り付けシート!$1:$2,2,FALSE)</f>
        <v>878</v>
      </c>
      <c r="E64" s="122"/>
    </row>
    <row r="65" spans="1:5" x14ac:dyDescent="0.4">
      <c r="A65" s="123" t="s">
        <v>66</v>
      </c>
      <c r="B65" s="124">
        <f>HLOOKUP(SUBSTITUTE(CONCATENATE(SUBSTITUTE(SUBSTITUTE(A65,"歳","")," ",""),"_男")," ",""),[11]データ貼り付けシート!$1:$2,2,FALSE)</f>
        <v>380</v>
      </c>
      <c r="C65" s="124">
        <f>HLOOKUP(SUBSTITUTE(CONCATENATE(SUBSTITUTE(SUBSTITUTE(A65,"歳","")," ",""),"_女")," ",""),[11]データ貼り付けシート!$1:$2,2,FALSE)</f>
        <v>393</v>
      </c>
      <c r="D65" s="124">
        <f>HLOOKUP(SUBSTITUTE(CONCATENATE(SUBSTITUTE(SUBSTITUTE(A65,"歳","")," ",""),"_全体")," ",""),[11]データ貼り付けシート!$1:$2,2,FALSE)</f>
        <v>773</v>
      </c>
      <c r="E65" s="122"/>
    </row>
    <row r="66" spans="1:5" x14ac:dyDescent="0.4">
      <c r="A66" s="123" t="s">
        <v>67</v>
      </c>
      <c r="B66" s="124">
        <f>HLOOKUP(SUBSTITUTE(CONCATENATE(SUBSTITUTE(SUBSTITUTE(A66,"歳","")," ",""),"_男")," ",""),[11]データ貼り付けシート!$1:$2,2,FALSE)</f>
        <v>403</v>
      </c>
      <c r="C66" s="124">
        <f>HLOOKUP(SUBSTITUTE(CONCATENATE(SUBSTITUTE(SUBSTITUTE(A66,"歳","")," ",""),"_女")," ",""),[11]データ貼り付けシート!$1:$2,2,FALSE)</f>
        <v>403</v>
      </c>
      <c r="D66" s="124">
        <f>HLOOKUP(SUBSTITUTE(CONCATENATE(SUBSTITUTE(SUBSTITUTE(A66,"歳","")," ",""),"_全体")," ",""),[11]データ貼り付けシート!$1:$2,2,FALSE)</f>
        <v>806</v>
      </c>
      <c r="E66" s="122"/>
    </row>
    <row r="67" spans="1:5" x14ac:dyDescent="0.4">
      <c r="A67" s="123" t="s">
        <v>68</v>
      </c>
      <c r="B67" s="124">
        <f>HLOOKUP(SUBSTITUTE(CONCATENATE(SUBSTITUTE(SUBSTITUTE(A67,"歳","")," ",""),"_男")," ",""),[11]データ貼り付けシート!$1:$2,2,FALSE)</f>
        <v>436</v>
      </c>
      <c r="C67" s="124">
        <f>HLOOKUP(SUBSTITUTE(CONCATENATE(SUBSTITUTE(SUBSTITUTE(A67,"歳","")," ",""),"_女")," ",""),[11]データ貼り付けシート!$1:$2,2,FALSE)</f>
        <v>437</v>
      </c>
      <c r="D67" s="124">
        <f>HLOOKUP(SUBSTITUTE(CONCATENATE(SUBSTITUTE(SUBSTITUTE(A67,"歳","")," ",""),"_全体")," ",""),[11]データ貼り付けシート!$1:$2,2,FALSE)</f>
        <v>873</v>
      </c>
      <c r="E67" s="122"/>
    </row>
    <row r="68" spans="1:5" x14ac:dyDescent="0.4">
      <c r="A68" s="123" t="s">
        <v>69</v>
      </c>
      <c r="B68" s="124">
        <f>HLOOKUP(SUBSTITUTE(CONCATENATE(SUBSTITUTE(SUBSTITUTE(A68,"歳","")," ",""),"_男")," ",""),[11]データ貼り付けシート!$1:$2,2,FALSE)</f>
        <v>426</v>
      </c>
      <c r="C68" s="124">
        <f>HLOOKUP(SUBSTITUTE(CONCATENATE(SUBSTITUTE(SUBSTITUTE(A68,"歳","")," ",""),"_女")," ",""),[11]データ貼り付けシート!$1:$2,2,FALSE)</f>
        <v>456</v>
      </c>
      <c r="D68" s="124">
        <f>HLOOKUP(SUBSTITUTE(CONCATENATE(SUBSTITUTE(SUBSTITUTE(A68,"歳","")," ",""),"_全体")," ",""),[11]データ貼り付けシート!$1:$2,2,FALSE)</f>
        <v>882</v>
      </c>
      <c r="E68" s="122"/>
    </row>
    <row r="69" spans="1:5" x14ac:dyDescent="0.4">
      <c r="A69" s="123" t="s">
        <v>70</v>
      </c>
      <c r="B69" s="124">
        <f>HLOOKUP(SUBSTITUTE(CONCATENATE(SUBSTITUTE(SUBSTITUTE(A69,"歳","")," ",""),"_男")," ",""),[11]データ貼り付けシート!$1:$2,2,FALSE)</f>
        <v>404</v>
      </c>
      <c r="C69" s="124">
        <f>HLOOKUP(SUBSTITUTE(CONCATENATE(SUBSTITUTE(SUBSTITUTE(A69,"歳","")," ",""),"_女")," ",""),[11]データ貼り付けシート!$1:$2,2,FALSE)</f>
        <v>493</v>
      </c>
      <c r="D69" s="124">
        <f>HLOOKUP(SUBSTITUTE(CONCATENATE(SUBSTITUTE(SUBSTITUTE(A69,"歳","")," ",""),"_全体")," ",""),[11]データ貼り付けシート!$1:$2,2,FALSE)</f>
        <v>897</v>
      </c>
      <c r="E69" s="122"/>
    </row>
    <row r="70" spans="1:5" x14ac:dyDescent="0.4">
      <c r="A70" s="123" t="s">
        <v>71</v>
      </c>
      <c r="B70" s="124">
        <f>HLOOKUP(SUBSTITUTE(CONCATENATE(SUBSTITUTE(SUBSTITUTE(A70,"歳","")," ",""),"_男")," ",""),[11]データ貼り付けシート!$1:$2,2,FALSE)</f>
        <v>485</v>
      </c>
      <c r="C70" s="124">
        <f>HLOOKUP(SUBSTITUTE(CONCATENATE(SUBSTITUTE(SUBSTITUTE(A70,"歳","")," ",""),"_女")," ",""),[11]データ貼り付けシート!$1:$2,2,FALSE)</f>
        <v>533</v>
      </c>
      <c r="D70" s="124">
        <f>HLOOKUP(SUBSTITUTE(CONCATENATE(SUBSTITUTE(SUBSTITUTE(A70,"歳","")," ",""),"_全体")," ",""),[11]データ貼り付けシート!$1:$2,2,FALSE)</f>
        <v>1018</v>
      </c>
      <c r="E70" s="122"/>
    </row>
    <row r="71" spans="1:5" x14ac:dyDescent="0.4">
      <c r="A71" s="123" t="s">
        <v>72</v>
      </c>
      <c r="B71" s="124">
        <f>HLOOKUP(SUBSTITUTE(CONCATENATE(SUBSTITUTE(SUBSTITUTE(A71,"歳","")," ",""),"_男")," ",""),[11]データ貼り付けシート!$1:$2,2,FALSE)</f>
        <v>526</v>
      </c>
      <c r="C71" s="124">
        <f>HLOOKUP(SUBSTITUTE(CONCATENATE(SUBSTITUTE(SUBSTITUTE(A71,"歳","")," ",""),"_女")," ",""),[11]データ貼り付けシート!$1:$2,2,FALSE)</f>
        <v>582</v>
      </c>
      <c r="D71" s="124">
        <f>HLOOKUP(SUBSTITUTE(CONCATENATE(SUBSTITUTE(SUBSTITUTE(A71,"歳","")," ",""),"_全体")," ",""),[11]データ貼り付けシート!$1:$2,2,FALSE)</f>
        <v>1108</v>
      </c>
      <c r="E71" s="122"/>
    </row>
    <row r="72" spans="1:5" x14ac:dyDescent="0.4">
      <c r="A72" s="123" t="s">
        <v>73</v>
      </c>
      <c r="B72" s="124">
        <f>HLOOKUP(SUBSTITUTE(CONCATENATE(SUBSTITUTE(SUBSTITUTE(A72,"歳","")," ",""),"_男")," ",""),[11]データ貼り付けシート!$1:$2,2,FALSE)</f>
        <v>564</v>
      </c>
      <c r="C72" s="124">
        <f>HLOOKUP(SUBSTITUTE(CONCATENATE(SUBSTITUTE(SUBSTITUTE(A72,"歳","")," ",""),"_女")," ",""),[11]データ貼り付けシート!$1:$2,2,FALSE)</f>
        <v>625</v>
      </c>
      <c r="D72" s="124">
        <f>HLOOKUP(SUBSTITUTE(CONCATENATE(SUBSTITUTE(SUBSTITUTE(A72,"歳","")," ",""),"_全体")," ",""),[11]データ貼り付けシート!$1:$2,2,FALSE)</f>
        <v>1189</v>
      </c>
      <c r="E72" s="122"/>
    </row>
    <row r="73" spans="1:5" x14ac:dyDescent="0.4">
      <c r="A73" s="123" t="s">
        <v>74</v>
      </c>
      <c r="B73" s="124">
        <f>HLOOKUP(SUBSTITUTE(CONCATENATE(SUBSTITUTE(SUBSTITUTE(A73,"歳","")," ",""),"_男")," ",""),[11]データ貼り付けシート!$1:$2,2,FALSE)</f>
        <v>666</v>
      </c>
      <c r="C73" s="124">
        <f>HLOOKUP(SUBSTITUTE(CONCATENATE(SUBSTITUTE(SUBSTITUTE(A73,"歳","")," ",""),"_女")," ",""),[11]データ貼り付けシート!$1:$2,2,FALSE)</f>
        <v>766</v>
      </c>
      <c r="D73" s="124">
        <f>HLOOKUP(SUBSTITUTE(CONCATENATE(SUBSTITUTE(SUBSTITUTE(A73,"歳","")," ",""),"_全体")," ",""),[11]データ貼り付けシート!$1:$2,2,FALSE)</f>
        <v>1432</v>
      </c>
      <c r="E73" s="122"/>
    </row>
    <row r="74" spans="1:5" x14ac:dyDescent="0.4">
      <c r="A74" s="123" t="s">
        <v>75</v>
      </c>
      <c r="B74" s="124">
        <f>HLOOKUP(SUBSTITUTE(CONCATENATE(SUBSTITUTE(SUBSTITUTE(A74,"歳","")," ",""),"_男")," ",""),[11]データ貼り付けシート!$1:$2,2,FALSE)</f>
        <v>656</v>
      </c>
      <c r="C74" s="124">
        <f>HLOOKUP(SUBSTITUTE(CONCATENATE(SUBSTITUTE(SUBSTITUTE(A74,"歳","")," ",""),"_女")," ",""),[11]データ貼り付けシート!$1:$2,2,FALSE)</f>
        <v>779</v>
      </c>
      <c r="D74" s="124">
        <f>HLOOKUP(SUBSTITUTE(CONCATENATE(SUBSTITUTE(SUBSTITUTE(A74,"歳","")," ",""),"_全体")," ",""),[11]データ貼り付けシート!$1:$2,2,FALSE)</f>
        <v>1435</v>
      </c>
      <c r="E74" s="122"/>
    </row>
    <row r="75" spans="1:5" x14ac:dyDescent="0.4">
      <c r="A75" s="123" t="s">
        <v>76</v>
      </c>
      <c r="B75" s="124">
        <f>HLOOKUP(SUBSTITUTE(CONCATENATE(SUBSTITUTE(SUBSTITUTE(A75,"歳","")," ",""),"_男")," ",""),[11]データ貼り付けシート!$1:$2,2,FALSE)</f>
        <v>659</v>
      </c>
      <c r="C75" s="124">
        <f>HLOOKUP(SUBSTITUTE(CONCATENATE(SUBSTITUTE(SUBSTITUTE(A75,"歳","")," ",""),"_女")," ",""),[11]データ貼り付けシート!$1:$2,2,FALSE)</f>
        <v>745</v>
      </c>
      <c r="D75" s="124">
        <f>HLOOKUP(SUBSTITUTE(CONCATENATE(SUBSTITUTE(SUBSTITUTE(A75,"歳","")," ",""),"_全体")," ",""),[11]データ貼り付けシート!$1:$2,2,FALSE)</f>
        <v>1404</v>
      </c>
      <c r="E75" s="122"/>
    </row>
    <row r="76" spans="1:5" x14ac:dyDescent="0.4">
      <c r="A76" s="123" t="s">
        <v>77</v>
      </c>
      <c r="B76" s="124">
        <f>HLOOKUP(SUBSTITUTE(CONCATENATE(SUBSTITUTE(SUBSTITUTE(A76,"歳","")," ",""),"_男")," ",""),[11]データ貼り付けシート!$1:$2,2,FALSE)</f>
        <v>400</v>
      </c>
      <c r="C76" s="124">
        <f>HLOOKUP(SUBSTITUTE(CONCATENATE(SUBSTITUTE(SUBSTITUTE(A76,"歳","")," ",""),"_女")," ",""),[11]データ貼り付けシート!$1:$2,2,FALSE)</f>
        <v>489</v>
      </c>
      <c r="D76" s="124">
        <f>HLOOKUP(SUBSTITUTE(CONCATENATE(SUBSTITUTE(SUBSTITUTE(A76,"歳","")," ",""),"_全体")," ",""),[11]データ貼り付けシート!$1:$2,2,FALSE)</f>
        <v>889</v>
      </c>
      <c r="E76" s="122"/>
    </row>
    <row r="77" spans="1:5" x14ac:dyDescent="0.4">
      <c r="A77" s="123" t="s">
        <v>78</v>
      </c>
      <c r="B77" s="124">
        <f>HLOOKUP(SUBSTITUTE(CONCATENATE(SUBSTITUTE(SUBSTITUTE(A77,"歳","")," ",""),"_男")," ",""),[11]データ貼り付けシート!$1:$2,2,FALSE)</f>
        <v>396</v>
      </c>
      <c r="C77" s="124">
        <f>HLOOKUP(SUBSTITUTE(CONCATENATE(SUBSTITUTE(SUBSTITUTE(A77,"歳","")," ",""),"_女")," ",""),[11]データ貼り付けシート!$1:$2,2,FALSE)</f>
        <v>493</v>
      </c>
      <c r="D77" s="124">
        <f>HLOOKUP(SUBSTITUTE(CONCATENATE(SUBSTITUTE(SUBSTITUTE(A77,"歳","")," ",""),"_全体")," ",""),[11]データ貼り付けシート!$1:$2,2,FALSE)</f>
        <v>889</v>
      </c>
      <c r="E77" s="122"/>
    </row>
    <row r="78" spans="1:5" x14ac:dyDescent="0.4">
      <c r="A78" s="123" t="s">
        <v>79</v>
      </c>
      <c r="B78" s="124">
        <f>HLOOKUP(SUBSTITUTE(CONCATENATE(SUBSTITUTE(SUBSTITUTE(A78,"歳","")," ",""),"_男")," ",""),[11]データ貼り付けシート!$1:$2,2,FALSE)</f>
        <v>525</v>
      </c>
      <c r="C78" s="124">
        <f>HLOOKUP(SUBSTITUTE(CONCATENATE(SUBSTITUTE(SUBSTITUTE(A78,"歳","")," ",""),"_女")," ",""),[11]データ貼り付けシート!$1:$2,2,FALSE)</f>
        <v>604</v>
      </c>
      <c r="D78" s="124">
        <f>HLOOKUP(SUBSTITUTE(CONCATENATE(SUBSTITUTE(SUBSTITUTE(A78,"歳","")," ",""),"_全体")," ",""),[11]データ貼り付けシート!$1:$2,2,FALSE)</f>
        <v>1129</v>
      </c>
      <c r="E78" s="122"/>
    </row>
    <row r="79" spans="1:5" x14ac:dyDescent="0.4">
      <c r="A79" s="123" t="s">
        <v>80</v>
      </c>
      <c r="B79" s="124">
        <f>HLOOKUP(SUBSTITUTE(CONCATENATE(SUBSTITUTE(SUBSTITUTE(A79,"歳","")," ",""),"_男")," ",""),[11]データ貼り付けシート!$1:$2,2,FALSE)</f>
        <v>482</v>
      </c>
      <c r="C79" s="124">
        <f>HLOOKUP(SUBSTITUTE(CONCATENATE(SUBSTITUTE(SUBSTITUTE(A79,"歳","")," ",""),"_女")," ",""),[11]データ貼り付けシート!$1:$2,2,FALSE)</f>
        <v>637</v>
      </c>
      <c r="D79" s="124">
        <f>HLOOKUP(SUBSTITUTE(CONCATENATE(SUBSTITUTE(SUBSTITUTE(A79,"歳","")," ",""),"_全体")," ",""),[11]データ貼り付けシート!$1:$2,2,FALSE)</f>
        <v>1119</v>
      </c>
      <c r="E79" s="122"/>
    </row>
    <row r="80" spans="1:5" x14ac:dyDescent="0.4">
      <c r="A80" s="123" t="s">
        <v>81</v>
      </c>
      <c r="B80" s="124">
        <f>HLOOKUP(SUBSTITUTE(CONCATENATE(SUBSTITUTE(SUBSTITUTE(A80,"歳","")," ",""),"_男")," ",""),[11]データ貼り付けシート!$1:$2,2,FALSE)</f>
        <v>488</v>
      </c>
      <c r="C80" s="124">
        <f>HLOOKUP(SUBSTITUTE(CONCATENATE(SUBSTITUTE(SUBSTITUTE(A80,"歳","")," ",""),"_女")," ",""),[11]データ貼り付けシート!$1:$2,2,FALSE)</f>
        <v>610</v>
      </c>
      <c r="D80" s="124">
        <f>HLOOKUP(SUBSTITUTE(CONCATENATE(SUBSTITUTE(SUBSTITUTE(A80,"歳","")," ",""),"_全体")," ",""),[11]データ貼り付けシート!$1:$2,2,FALSE)</f>
        <v>1098</v>
      </c>
      <c r="E80" s="122"/>
    </row>
    <row r="81" spans="1:5" x14ac:dyDescent="0.4">
      <c r="A81" s="123" t="s">
        <v>82</v>
      </c>
      <c r="B81" s="124">
        <f>HLOOKUP(SUBSTITUTE(CONCATENATE(SUBSTITUTE(SUBSTITUTE(A81,"歳","")," ",""),"_男")," ",""),[11]データ貼り付けシート!$1:$2,2,FALSE)</f>
        <v>505</v>
      </c>
      <c r="C81" s="124">
        <f>HLOOKUP(SUBSTITUTE(CONCATENATE(SUBSTITUTE(SUBSTITUTE(A81,"歳","")," ",""),"_女")," ",""),[11]データ貼り付けシート!$1:$2,2,FALSE)</f>
        <v>590</v>
      </c>
      <c r="D81" s="124">
        <f>HLOOKUP(SUBSTITUTE(CONCATENATE(SUBSTITUTE(SUBSTITUTE(A81,"歳","")," ",""),"_全体")," ",""),[11]データ貼り付けシート!$1:$2,2,FALSE)</f>
        <v>1095</v>
      </c>
      <c r="E81" s="122"/>
    </row>
    <row r="82" spans="1:5" x14ac:dyDescent="0.4">
      <c r="A82" s="123" t="s">
        <v>83</v>
      </c>
      <c r="B82" s="124">
        <f>HLOOKUP(SUBSTITUTE(CONCATENATE(SUBSTITUTE(SUBSTITUTE(A82,"歳","")," ",""),"_男")," ",""),[11]データ貼り付けシート!$1:$2,2,FALSE)</f>
        <v>403</v>
      </c>
      <c r="C82" s="124">
        <f>HLOOKUP(SUBSTITUTE(CONCATENATE(SUBSTITUTE(SUBSTITUTE(A82,"歳","")," ",""),"_女")," ",""),[11]データ貼り付けシート!$1:$2,2,FALSE)</f>
        <v>506</v>
      </c>
      <c r="D82" s="124">
        <f>HLOOKUP(SUBSTITUTE(CONCATENATE(SUBSTITUTE(SUBSTITUTE(A82,"歳","")," ",""),"_全体")," ",""),[11]データ貼り付けシート!$1:$2,2,FALSE)</f>
        <v>909</v>
      </c>
      <c r="E82" s="122"/>
    </row>
    <row r="83" spans="1:5" x14ac:dyDescent="0.4">
      <c r="A83" s="123" t="s">
        <v>84</v>
      </c>
      <c r="B83" s="124">
        <f>HLOOKUP(SUBSTITUTE(CONCATENATE(SUBSTITUTE(SUBSTITUTE(A83,"歳","")," ",""),"_男")," ",""),[11]データ貼り付けシート!$1:$2,2,FALSE)</f>
        <v>347</v>
      </c>
      <c r="C83" s="124">
        <f>HLOOKUP(SUBSTITUTE(CONCATENATE(SUBSTITUTE(SUBSTITUTE(A83,"歳","")," ",""),"_女")," ",""),[11]データ貼り付けシート!$1:$2,2,FALSE)</f>
        <v>379</v>
      </c>
      <c r="D83" s="124">
        <f>HLOOKUP(SUBSTITUTE(CONCATENATE(SUBSTITUTE(SUBSTITUTE(A83,"歳","")," ",""),"_全体")," ",""),[11]データ貼り付けシート!$1:$2,2,FALSE)</f>
        <v>726</v>
      </c>
      <c r="E83" s="122"/>
    </row>
    <row r="84" spans="1:5" x14ac:dyDescent="0.4">
      <c r="A84" s="123" t="s">
        <v>85</v>
      </c>
      <c r="B84" s="124">
        <f>HLOOKUP(SUBSTITUTE(CONCATENATE(SUBSTITUTE(SUBSTITUTE(A84,"歳","")," ",""),"_男")," ",""),[11]データ貼り付けシート!$1:$2,2,FALSE)</f>
        <v>295</v>
      </c>
      <c r="C84" s="124">
        <f>HLOOKUP(SUBSTITUTE(CONCATENATE(SUBSTITUTE(SUBSTITUTE(A84,"歳","")," ",""),"_女")," ",""),[11]データ貼り付けシート!$1:$2,2,FALSE)</f>
        <v>391</v>
      </c>
      <c r="D84" s="124">
        <f>HLOOKUP(SUBSTITUTE(CONCATENATE(SUBSTITUTE(SUBSTITUTE(A84,"歳","")," ",""),"_全体")," ",""),[11]データ貼り付けシート!$1:$2,2,FALSE)</f>
        <v>686</v>
      </c>
      <c r="E84" s="122"/>
    </row>
    <row r="85" spans="1:5" x14ac:dyDescent="0.4">
      <c r="A85" s="123" t="s">
        <v>86</v>
      </c>
      <c r="B85" s="124">
        <f>HLOOKUP(SUBSTITUTE(CONCATENATE(SUBSTITUTE(SUBSTITUTE(A85,"歳","")," ",""),"_男")," ",""),[11]データ貼り付けシート!$1:$2,2,FALSE)</f>
        <v>301</v>
      </c>
      <c r="C85" s="124">
        <f>HLOOKUP(SUBSTITUTE(CONCATENATE(SUBSTITUTE(SUBSTITUTE(A85,"歳","")," ",""),"_女")," ",""),[11]データ貼り付けシート!$1:$2,2,FALSE)</f>
        <v>348</v>
      </c>
      <c r="D85" s="124">
        <f>HLOOKUP(SUBSTITUTE(CONCATENATE(SUBSTITUTE(SUBSTITUTE(A85,"歳","")," ",""),"_全体")," ",""),[11]データ貼り付けシート!$1:$2,2,FALSE)</f>
        <v>649</v>
      </c>
      <c r="E85" s="122"/>
    </row>
    <row r="86" spans="1:5" x14ac:dyDescent="0.4">
      <c r="A86" s="123" t="s">
        <v>87</v>
      </c>
      <c r="B86" s="124">
        <f>HLOOKUP(SUBSTITUTE(CONCATENATE(SUBSTITUTE(SUBSTITUTE(A86,"歳","")," ",""),"_男")," ",""),[11]データ貼り付けシート!$1:$2,2,FALSE)</f>
        <v>269</v>
      </c>
      <c r="C86" s="124">
        <f>HLOOKUP(SUBSTITUTE(CONCATENATE(SUBSTITUTE(SUBSTITUTE(A86,"歳","")," ",""),"_女")," ",""),[11]データ貼り付けシート!$1:$2,2,FALSE)</f>
        <v>309</v>
      </c>
      <c r="D86" s="124">
        <f>HLOOKUP(SUBSTITUTE(CONCATENATE(SUBSTITUTE(SUBSTITUTE(A86,"歳","")," ",""),"_全体")," ",""),[11]データ貼り付けシート!$1:$2,2,FALSE)</f>
        <v>578</v>
      </c>
      <c r="E86" s="122"/>
    </row>
    <row r="87" spans="1:5" x14ac:dyDescent="0.4">
      <c r="A87" s="123" t="s">
        <v>88</v>
      </c>
      <c r="B87" s="124">
        <f>HLOOKUP(SUBSTITUTE(CONCATENATE(SUBSTITUTE(SUBSTITUTE(A87,"歳","")," ",""),"_男")," ",""),[11]データ貼り付けシート!$1:$2,2,FALSE)</f>
        <v>227</v>
      </c>
      <c r="C87" s="124">
        <f>HLOOKUP(SUBSTITUTE(CONCATENATE(SUBSTITUTE(SUBSTITUTE(A87,"歳","")," ",""),"_女")," ",""),[11]データ貼り付けシート!$1:$2,2,FALSE)</f>
        <v>311</v>
      </c>
      <c r="D87" s="124">
        <f>HLOOKUP(SUBSTITUTE(CONCATENATE(SUBSTITUTE(SUBSTITUTE(A87,"歳","")," ",""),"_全体")," ",""),[11]データ貼り付けシート!$1:$2,2,FALSE)</f>
        <v>538</v>
      </c>
      <c r="E87" s="122"/>
    </row>
    <row r="88" spans="1:5" x14ac:dyDescent="0.4">
      <c r="A88" s="123" t="s">
        <v>89</v>
      </c>
      <c r="B88" s="124">
        <f>HLOOKUP(SUBSTITUTE(CONCATENATE(SUBSTITUTE(SUBSTITUTE(A88,"歳","")," ",""),"_男")," ",""),[11]データ貼り付けシート!$1:$2,2,FALSE)</f>
        <v>146</v>
      </c>
      <c r="C88" s="124">
        <f>HLOOKUP(SUBSTITUTE(CONCATENATE(SUBSTITUTE(SUBSTITUTE(A88,"歳","")," ",""),"_女")," ",""),[11]データ貼り付けシート!$1:$2,2,FALSE)</f>
        <v>267</v>
      </c>
      <c r="D88" s="124">
        <f>HLOOKUP(SUBSTITUTE(CONCATENATE(SUBSTITUTE(SUBSTITUTE(A88,"歳","")," ",""),"_全体")," ",""),[11]データ貼り付けシート!$1:$2,2,FALSE)</f>
        <v>413</v>
      </c>
      <c r="E88" s="122"/>
    </row>
    <row r="89" spans="1:5" x14ac:dyDescent="0.4">
      <c r="A89" s="123" t="s">
        <v>90</v>
      </c>
      <c r="B89" s="124">
        <f>HLOOKUP(SUBSTITUTE(CONCATENATE(SUBSTITUTE(SUBSTITUTE(A89,"歳","")," ",""),"_男")," ",""),[11]データ貼り付けシート!$1:$2,2,FALSE)</f>
        <v>127</v>
      </c>
      <c r="C89" s="124">
        <f>HLOOKUP(SUBSTITUTE(CONCATENATE(SUBSTITUTE(SUBSTITUTE(A89,"歳","")," ",""),"_女")," ",""),[11]データ貼り付けシート!$1:$2,2,FALSE)</f>
        <v>252</v>
      </c>
      <c r="D89" s="124">
        <f>HLOOKUP(SUBSTITUTE(CONCATENATE(SUBSTITUTE(SUBSTITUTE(A89,"歳","")," ",""),"_全体")," ",""),[11]データ貼り付けシート!$1:$2,2,FALSE)</f>
        <v>379</v>
      </c>
      <c r="E89" s="122"/>
    </row>
    <row r="90" spans="1:5" x14ac:dyDescent="0.4">
      <c r="A90" s="123" t="s">
        <v>91</v>
      </c>
      <c r="B90" s="124">
        <f>HLOOKUP(SUBSTITUTE(CONCATENATE(SUBSTITUTE(SUBSTITUTE(A90,"歳","")," ",""),"_男")," ",""),[11]データ貼り付けシート!$1:$2,2,FALSE)</f>
        <v>143</v>
      </c>
      <c r="C90" s="124">
        <f>HLOOKUP(SUBSTITUTE(CONCATENATE(SUBSTITUTE(SUBSTITUTE(A90,"歳","")," ",""),"_女")," ",""),[11]データ貼り付けシート!$1:$2,2,FALSE)</f>
        <v>196</v>
      </c>
      <c r="D90" s="124">
        <f>HLOOKUP(SUBSTITUTE(CONCATENATE(SUBSTITUTE(SUBSTITUTE(A90,"歳","")," ",""),"_全体")," ",""),[11]データ貼り付けシート!$1:$2,2,FALSE)</f>
        <v>339</v>
      </c>
      <c r="E90" s="122"/>
    </row>
    <row r="91" spans="1:5" x14ac:dyDescent="0.4">
      <c r="A91" s="123" t="s">
        <v>92</v>
      </c>
      <c r="B91" s="124">
        <f>HLOOKUP(SUBSTITUTE(CONCATENATE(SUBSTITUTE(SUBSTITUTE(A91,"歳","")," ",""),"_男")," ",""),[11]データ貼り付けシート!$1:$2,2,FALSE)</f>
        <v>90</v>
      </c>
      <c r="C91" s="124">
        <f>HLOOKUP(SUBSTITUTE(CONCATENATE(SUBSTITUTE(SUBSTITUTE(A91,"歳","")," ",""),"_女")," ",""),[11]データ貼り付けシート!$1:$2,2,FALSE)</f>
        <v>170</v>
      </c>
      <c r="D91" s="124">
        <f>HLOOKUP(SUBSTITUTE(CONCATENATE(SUBSTITUTE(SUBSTITUTE(A91,"歳","")," ",""),"_全体")," ",""),[11]データ貼り付けシート!$1:$2,2,FALSE)</f>
        <v>260</v>
      </c>
      <c r="E91" s="122"/>
    </row>
    <row r="92" spans="1:5" x14ac:dyDescent="0.4">
      <c r="A92" s="123" t="s">
        <v>93</v>
      </c>
      <c r="B92" s="124">
        <f>HLOOKUP(SUBSTITUTE(CONCATENATE(SUBSTITUTE(SUBSTITUTE(A92,"歳","")," ",""),"_男")," ",""),[11]データ貼り付けシート!$1:$2,2,FALSE)</f>
        <v>62</v>
      </c>
      <c r="C92" s="124">
        <f>HLOOKUP(SUBSTITUTE(CONCATENATE(SUBSTITUTE(SUBSTITUTE(A92,"歳","")," ",""),"_女")," ",""),[11]データ貼り付けシート!$1:$2,2,FALSE)</f>
        <v>133</v>
      </c>
      <c r="D92" s="124">
        <f>HLOOKUP(SUBSTITUTE(CONCATENATE(SUBSTITUTE(SUBSTITUTE(A92,"歳","")," ",""),"_全体")," ",""),[11]データ貼り付けシート!$1:$2,2,FALSE)</f>
        <v>195</v>
      </c>
      <c r="E92" s="122"/>
    </row>
    <row r="93" spans="1:5" x14ac:dyDescent="0.4">
      <c r="A93" s="123" t="s">
        <v>94</v>
      </c>
      <c r="B93" s="124">
        <f>HLOOKUP(SUBSTITUTE(CONCATENATE(SUBSTITUTE(SUBSTITUTE(A93,"歳","")," ",""),"_男")," ",""),[11]データ貼り付けシート!$1:$2,2,FALSE)</f>
        <v>56</v>
      </c>
      <c r="C93" s="124">
        <f>HLOOKUP(SUBSTITUTE(CONCATENATE(SUBSTITUTE(SUBSTITUTE(A93,"歳","")," ",""),"_女")," ",""),[11]データ貼り付けシート!$1:$2,2,FALSE)</f>
        <v>152</v>
      </c>
      <c r="D93" s="124">
        <f>HLOOKUP(SUBSTITUTE(CONCATENATE(SUBSTITUTE(SUBSTITUTE(A93,"歳","")," ",""),"_全体")," ",""),[11]データ貼り付けシート!$1:$2,2,FALSE)</f>
        <v>208</v>
      </c>
      <c r="E93" s="122"/>
    </row>
    <row r="94" spans="1:5" x14ac:dyDescent="0.4">
      <c r="A94" s="123" t="s">
        <v>95</v>
      </c>
      <c r="B94" s="124">
        <f>HLOOKUP(SUBSTITUTE(CONCATENATE(SUBSTITUTE(SUBSTITUTE(A94,"歳","")," ",""),"_男")," ",""),[11]データ貼り付けシート!$1:$2,2,FALSE)</f>
        <v>47</v>
      </c>
      <c r="C94" s="124">
        <f>HLOOKUP(SUBSTITUTE(CONCATENATE(SUBSTITUTE(SUBSTITUTE(A94,"歳","")," ",""),"_女")," ",""),[11]データ貼り付けシート!$1:$2,2,FALSE)</f>
        <v>113</v>
      </c>
      <c r="D94" s="124">
        <f>HLOOKUP(SUBSTITUTE(CONCATENATE(SUBSTITUTE(SUBSTITUTE(A94,"歳","")," ",""),"_全体")," ",""),[11]データ貼り付けシート!$1:$2,2,FALSE)</f>
        <v>160</v>
      </c>
      <c r="E94" s="122"/>
    </row>
    <row r="95" spans="1:5" x14ac:dyDescent="0.4">
      <c r="A95" s="123" t="s">
        <v>96</v>
      </c>
      <c r="B95" s="124">
        <f>HLOOKUP(SUBSTITUTE(CONCATENATE(SUBSTITUTE(SUBSTITUTE(A95,"歳","")," ",""),"_男")," ",""),[11]データ貼り付けシート!$1:$2,2,FALSE)</f>
        <v>29</v>
      </c>
      <c r="C95" s="124">
        <f>HLOOKUP(SUBSTITUTE(CONCATENATE(SUBSTITUTE(SUBSTITUTE(A95,"歳","")," ",""),"_女")," ",""),[11]データ貼り付けシート!$1:$2,2,FALSE)</f>
        <v>96</v>
      </c>
      <c r="D95" s="124">
        <f>HLOOKUP(SUBSTITUTE(CONCATENATE(SUBSTITUTE(SUBSTITUTE(A95,"歳","")," ",""),"_全体")," ",""),[11]データ貼り付けシート!$1:$2,2,FALSE)</f>
        <v>125</v>
      </c>
      <c r="E95" s="122"/>
    </row>
    <row r="96" spans="1:5" x14ac:dyDescent="0.4">
      <c r="A96" s="123" t="s">
        <v>97</v>
      </c>
      <c r="B96" s="124">
        <f>HLOOKUP(SUBSTITUTE(CONCATENATE(SUBSTITUTE(SUBSTITUTE(A96,"歳","")," ",""),"_男")," ",""),[11]データ貼り付けシート!$1:$2,2,FALSE)</f>
        <v>26</v>
      </c>
      <c r="C96" s="124">
        <f>HLOOKUP(SUBSTITUTE(CONCATENATE(SUBSTITUTE(SUBSTITUTE(A96,"歳","")," ",""),"_女")," ",""),[11]データ貼り付けシート!$1:$2,2,FALSE)</f>
        <v>75</v>
      </c>
      <c r="D96" s="124">
        <f>HLOOKUP(SUBSTITUTE(CONCATENATE(SUBSTITUTE(SUBSTITUTE(A96,"歳","")," ",""),"_全体")," ",""),[11]データ貼り付けシート!$1:$2,2,FALSE)</f>
        <v>101</v>
      </c>
      <c r="E96" s="122"/>
    </row>
    <row r="97" spans="1:5" x14ac:dyDescent="0.4">
      <c r="A97" s="123" t="s">
        <v>98</v>
      </c>
      <c r="B97" s="124">
        <f>HLOOKUP(SUBSTITUTE(CONCATENATE(SUBSTITUTE(SUBSTITUTE(A97,"歳","")," ",""),"_男")," ",""),[11]データ貼り付けシート!$1:$2,2,FALSE)</f>
        <v>17</v>
      </c>
      <c r="C97" s="124">
        <f>HLOOKUP(SUBSTITUTE(CONCATENATE(SUBSTITUTE(SUBSTITUTE(A97,"歳","")," ",""),"_女")," ",""),[11]データ貼り付けシート!$1:$2,2,FALSE)</f>
        <v>66</v>
      </c>
      <c r="D97" s="124">
        <f>HLOOKUP(SUBSTITUTE(CONCATENATE(SUBSTITUTE(SUBSTITUTE(A97,"歳","")," ",""),"_全体")," ",""),[11]データ貼り付けシート!$1:$2,2,FALSE)</f>
        <v>83</v>
      </c>
      <c r="E97" s="122"/>
    </row>
    <row r="98" spans="1:5" x14ac:dyDescent="0.4">
      <c r="A98" s="123" t="s">
        <v>99</v>
      </c>
      <c r="B98" s="124">
        <f>HLOOKUP(SUBSTITUTE(CONCATENATE(SUBSTITUTE(SUBSTITUTE(A98,"歳","")," ",""),"_男")," ",""),[11]データ貼り付けシート!$1:$2,2,FALSE)</f>
        <v>10</v>
      </c>
      <c r="C98" s="124">
        <f>HLOOKUP(SUBSTITUTE(CONCATENATE(SUBSTITUTE(SUBSTITUTE(A98,"歳","")," ",""),"_女")," ",""),[11]データ貼り付けシート!$1:$2,2,FALSE)</f>
        <v>52</v>
      </c>
      <c r="D98" s="124">
        <f>HLOOKUP(SUBSTITUTE(CONCATENATE(SUBSTITUTE(SUBSTITUTE(A98,"歳","")," ",""),"_全体")," ",""),[11]データ貼り付けシート!$1:$2,2,FALSE)</f>
        <v>62</v>
      </c>
      <c r="E98" s="122"/>
    </row>
    <row r="99" spans="1:5" x14ac:dyDescent="0.4">
      <c r="A99" s="123" t="s">
        <v>100</v>
      </c>
      <c r="B99" s="124">
        <f>HLOOKUP(SUBSTITUTE(CONCATENATE(SUBSTITUTE(SUBSTITUTE(A99,"歳","")," ",""),"_男")," ",""),[11]データ貼り付けシート!$1:$2,2,FALSE)</f>
        <v>4</v>
      </c>
      <c r="C99" s="124">
        <f>HLOOKUP(SUBSTITUTE(CONCATENATE(SUBSTITUTE(SUBSTITUTE(A99,"歳","")," ",""),"_女")," ",""),[11]データ貼り付けシート!$1:$2,2,FALSE)</f>
        <v>34</v>
      </c>
      <c r="D99" s="124">
        <f>HLOOKUP(SUBSTITUTE(CONCATENATE(SUBSTITUTE(SUBSTITUTE(A99,"歳","")," ",""),"_全体")," ",""),[11]データ貼り付けシート!$1:$2,2,FALSE)</f>
        <v>38</v>
      </c>
      <c r="E99" s="122"/>
    </row>
    <row r="100" spans="1:5" x14ac:dyDescent="0.4">
      <c r="A100" s="123" t="s">
        <v>101</v>
      </c>
      <c r="B100" s="124">
        <f>HLOOKUP(SUBSTITUTE(CONCATENATE(SUBSTITUTE(SUBSTITUTE(A100,"歳","")," ",""),"_男")," ",""),[11]データ貼り付けシート!$1:$2,2,FALSE)</f>
        <v>8</v>
      </c>
      <c r="C100" s="124">
        <f>HLOOKUP(SUBSTITUTE(CONCATENATE(SUBSTITUTE(SUBSTITUTE(A100,"歳","")," ",""),"_女")," ",""),[11]データ貼り付けシート!$1:$2,2,FALSE)</f>
        <v>33</v>
      </c>
      <c r="D100" s="124">
        <f>HLOOKUP(SUBSTITUTE(CONCATENATE(SUBSTITUTE(SUBSTITUTE(A100,"歳","")," ",""),"_全体")," ",""),[11]データ貼り付けシート!$1:$2,2,FALSE)</f>
        <v>41</v>
      </c>
      <c r="E100" s="122"/>
    </row>
    <row r="101" spans="1:5" x14ac:dyDescent="0.4">
      <c r="A101" s="123" t="s">
        <v>102</v>
      </c>
      <c r="B101" s="124">
        <f>HLOOKUP(SUBSTITUTE(CONCATENATE(SUBSTITUTE(SUBSTITUTE(A101,"歳","")," ",""),"_男")," ",""),[11]データ貼り付けシート!$1:$2,2,FALSE)</f>
        <v>3</v>
      </c>
      <c r="C101" s="124">
        <f>HLOOKUP(SUBSTITUTE(CONCATENATE(SUBSTITUTE(SUBSTITUTE(A101,"歳","")," ",""),"_女")," ",""),[11]データ貼り付けシート!$1:$2,2,FALSE)</f>
        <v>19</v>
      </c>
      <c r="D101" s="124">
        <f>HLOOKUP(SUBSTITUTE(CONCATENATE(SUBSTITUTE(SUBSTITUTE(A101,"歳","")," ",""),"_全体")," ",""),[11]データ貼り付けシート!$1:$2,2,FALSE)</f>
        <v>22</v>
      </c>
      <c r="E101" s="122"/>
    </row>
    <row r="102" spans="1:5" x14ac:dyDescent="0.4">
      <c r="A102" s="123" t="s">
        <v>103</v>
      </c>
      <c r="B102" s="124">
        <f>HLOOKUP(SUBSTITUTE(CONCATENATE(SUBSTITUTE(SUBSTITUTE(A102,"歳","")," ",""),"_男")," ",""),[11]データ貼り付けシート!$1:$2,2,FALSE)</f>
        <v>3</v>
      </c>
      <c r="C102" s="124">
        <f>HLOOKUP(SUBSTITUTE(CONCATENATE(SUBSTITUTE(SUBSTITUTE(A102,"歳","")," ",""),"_女")," ",""),[11]データ貼り付けシート!$1:$2,2,FALSE)</f>
        <v>22</v>
      </c>
      <c r="D102" s="124">
        <f>HLOOKUP(SUBSTITUTE(CONCATENATE(SUBSTITUTE(SUBSTITUTE(A102,"歳","")," ",""),"_全体")," ",""),[11]データ貼り付けシート!$1:$2,2,FALSE)</f>
        <v>25</v>
      </c>
      <c r="E102" s="122"/>
    </row>
    <row r="103" spans="1:5" x14ac:dyDescent="0.4">
      <c r="A103" s="123" t="s">
        <v>104</v>
      </c>
      <c r="B103" s="124">
        <f>HLOOKUP(SUBSTITUTE(CONCATENATE(SUBSTITUTE(SUBSTITUTE(A103,"歳","")," ",""),"_男")," ",""),[11]データ貼り付けシート!$1:$2,2,FALSE)</f>
        <v>0</v>
      </c>
      <c r="C103" s="124">
        <f>HLOOKUP(SUBSTITUTE(CONCATENATE(SUBSTITUTE(SUBSTITUTE(A103,"歳","")," ",""),"_女")," ",""),[11]データ貼り付けシート!$1:$2,2,FALSE)</f>
        <v>10</v>
      </c>
      <c r="D103" s="124">
        <f>HLOOKUP(SUBSTITUTE(CONCATENATE(SUBSTITUTE(SUBSTITUTE(A103,"歳","")," ",""),"_全体")," ",""),[11]データ貼り付けシート!$1:$2,2,FALSE)</f>
        <v>10</v>
      </c>
      <c r="E103" s="122"/>
    </row>
    <row r="104" spans="1:5" x14ac:dyDescent="0.4">
      <c r="A104" s="123" t="s">
        <v>105</v>
      </c>
      <c r="B104" s="124">
        <f>HLOOKUP(SUBSTITUTE(CONCATENATE(SUBSTITUTE(SUBSTITUTE(A104,"歳","")," ",""),"_男")," ",""),[11]データ貼り付けシート!$1:$2,2,FALSE)</f>
        <v>0</v>
      </c>
      <c r="C104" s="124">
        <f>HLOOKUP(SUBSTITUTE(CONCATENATE(SUBSTITUTE(SUBSTITUTE(A104,"歳","")," ",""),"_女")," ",""),[11]データ貼り付けシート!$1:$2,2,FALSE)</f>
        <v>3</v>
      </c>
      <c r="D104" s="124">
        <f>HLOOKUP(SUBSTITUTE(CONCATENATE(SUBSTITUTE(SUBSTITUTE(A104,"歳","")," ",""),"_全体")," ",""),[11]データ貼り付けシート!$1:$2,2,FALSE)</f>
        <v>3</v>
      </c>
      <c r="E104" s="122"/>
    </row>
    <row r="105" spans="1:5" x14ac:dyDescent="0.4">
      <c r="A105" s="123" t="s">
        <v>106</v>
      </c>
      <c r="B105" s="124">
        <f>HLOOKUP(SUBSTITUTE(CONCATENATE(SUBSTITUTE(SUBSTITUTE(A105,"歳","")," ",""),"_男")," ",""),[11]データ貼り付けシート!$1:$2,2,FALSE)</f>
        <v>0</v>
      </c>
      <c r="C105" s="124">
        <f>HLOOKUP(SUBSTITUTE(CONCATENATE(SUBSTITUTE(SUBSTITUTE(A105,"歳","")," ",""),"_女")," ",""),[11]データ貼り付けシート!$1:$2,2,FALSE)</f>
        <v>2</v>
      </c>
      <c r="D105" s="124">
        <f>HLOOKUP(SUBSTITUTE(CONCATENATE(SUBSTITUTE(SUBSTITUTE(A105,"歳","")," ",""),"_全体")," ",""),[11]データ貼り付けシート!$1:$2,2,FALSE)</f>
        <v>2</v>
      </c>
      <c r="E105" s="122"/>
    </row>
    <row r="106" spans="1:5" x14ac:dyDescent="0.4">
      <c r="A106" s="123" t="s">
        <v>107</v>
      </c>
      <c r="B106" s="124">
        <f>HLOOKUP(SUBSTITUTE(CONCATENATE(SUBSTITUTE(SUBSTITUTE(A106,"歳","")," ",""),"_男")," ",""),[11]データ貼り付けシート!$1:$2,2,FALSE)</f>
        <v>0</v>
      </c>
      <c r="C106" s="124">
        <f>HLOOKUP(SUBSTITUTE(CONCATENATE(SUBSTITUTE(SUBSTITUTE(A106,"歳","")," ",""),"_女")," ",""),[11]データ貼り付けシート!$1:$2,2,FALSE)</f>
        <v>1</v>
      </c>
      <c r="D106" s="124">
        <f>HLOOKUP(SUBSTITUTE(CONCATENATE(SUBSTITUTE(SUBSTITUTE(A106,"歳","")," ",""),"_全体")," ",""),[11]データ貼り付けシート!$1:$2,2,FALSE)</f>
        <v>1</v>
      </c>
      <c r="E106" s="122"/>
    </row>
    <row r="107" spans="1:5" x14ac:dyDescent="0.4">
      <c r="A107" s="123" t="s">
        <v>108</v>
      </c>
      <c r="B107" s="124">
        <f>HLOOKUP(SUBSTITUTE(CONCATENATE(SUBSTITUTE(SUBSTITUTE(A107,"歳","")," ",""),"_男")," ",""),[11]データ貼り付けシート!$1:$2,2,FALSE)</f>
        <v>1</v>
      </c>
      <c r="C107" s="124">
        <f>HLOOKUP(SUBSTITUTE(CONCATENATE(SUBSTITUTE(SUBSTITUTE(A107,"歳","")," ",""),"_女")," ",""),[11]データ貼り付けシート!$1:$2,2,FALSE)</f>
        <v>3</v>
      </c>
      <c r="D107" s="124">
        <f>HLOOKUP(SUBSTITUTE(CONCATENATE(SUBSTITUTE(SUBSTITUTE(A107,"歳","")," ",""),"_全体")," ",""),[11]データ貼り付けシート!$1:$2,2,FALSE)</f>
        <v>4</v>
      </c>
      <c r="E107" s="122"/>
    </row>
    <row r="108" spans="1:5" x14ac:dyDescent="0.4">
      <c r="A108" s="123" t="s">
        <v>184</v>
      </c>
      <c r="B108" s="124">
        <f>IF(ISERROR(HLOOKUP("105以上_男",[11]データ貼り付けシート!$1:$2,2,FALSE)),0,HLOOKUP("105以上_男",[11]データ貼り付けシート!$1:$2,2,FALSE))+IF(ISERROR(HLOOKUP("105_男",[11]データ貼り付けシート!$1:$2,2,FALSE)),0,HLOOKUP("105_男",[11]データ貼り付けシート!$1:$2,2,FALSE))</f>
        <v>0</v>
      </c>
      <c r="C108" s="124">
        <f>IF(ISERROR(HLOOKUP("105以上_女",[11]データ貼り付けシート!$1:$2,2,FALSE)),0,HLOOKUP("105以上_女",[11]データ貼り付けシート!$1:$2,2,FALSE))+IF(ISERROR(HLOOKUP("105_女",[11]データ貼り付けシート!$1:$2,2,FALSE)),0,HLOOKUP("105_女",[11]データ貼り付けシート!$1:$2,2,FALSE))</f>
        <v>1</v>
      </c>
      <c r="D108" s="124">
        <f>B108+C108</f>
        <v>1</v>
      </c>
      <c r="E108" s="122"/>
    </row>
    <row r="109" spans="1:5" x14ac:dyDescent="0.4">
      <c r="A109" s="123" t="s">
        <v>185</v>
      </c>
      <c r="B109" s="124">
        <f>IF(ISERROR(HLOOKUP("106以上_男",[11]データ貼り付けシート!$1:$2,2,FALSE)),0,HLOOKUP("106以上_男",[11]データ貼り付けシート!$1:$2,2,FALSE))+IF(ISERROR(HLOOKUP("106_男",[11]データ貼り付けシート!$1:$2,2,FALSE)),0,HLOOKUP("106_男",[11]データ貼り付けシート!$1:$2,2,FALSE))</f>
        <v>0</v>
      </c>
      <c r="C109" s="124">
        <f>IF(ISERROR(HLOOKUP("106以上_女",[11]データ貼り付けシート!$1:$2,2,FALSE)),0,HLOOKUP("106以上_女",[11]データ貼り付けシート!$1:$2,2,FALSE))+IF(ISERROR(HLOOKUP("106_女",[11]データ貼り付けシート!$1:$2,2,FALSE)),0,HLOOKUP("106_女",[11]データ貼り付けシート!$1:$2,2,FALSE))</f>
        <v>0</v>
      </c>
      <c r="D109" s="124">
        <f>B109+C109</f>
        <v>0</v>
      </c>
      <c r="E109" s="122"/>
    </row>
    <row r="110" spans="1:5" x14ac:dyDescent="0.4">
      <c r="A110" s="123" t="s">
        <v>186</v>
      </c>
      <c r="B110" s="124">
        <f>IF(ISERROR(HLOOKUP("107以上_男",[11]データ貼り付けシート!$1:$2,2,FALSE)),0,HLOOKUP("107以上_男",[11]データ貼り付けシート!$1:$2,2,FALSE))+IF(ISERROR(HLOOKUP("107_男",[11]データ貼り付けシート!$1:$2,2,FALSE)),0,HLOOKUP("107_男",[11]データ貼り付けシート!$1:$2,2,FALSE))</f>
        <v>0</v>
      </c>
      <c r="C110" s="124">
        <f>IF(ISERROR(HLOOKUP("107以上_女",[11]データ貼り付けシート!$1:$2,2,FALSE)),0,HLOOKUP("107以上_女",[11]データ貼り付けシート!$1:$2,2,FALSE))+IF(ISERROR(HLOOKUP("107_女",[11]データ貼り付けシート!$1:$2,2,FALSE)),0,HLOOKUP("107_女",[11]データ貼り付けシート!$1:$2,2,FALSE))</f>
        <v>1</v>
      </c>
      <c r="D110" s="124">
        <f>B110+C110</f>
        <v>1</v>
      </c>
      <c r="E110" s="122"/>
    </row>
    <row r="111" spans="1:5" x14ac:dyDescent="0.4">
      <c r="A111" s="123" t="s">
        <v>187</v>
      </c>
      <c r="B111" s="124">
        <f>IF(ISERROR(HLOOKUP("108以上_男",[11]データ貼り付けシート!$1:$2,2,FALSE)),0,HLOOKUP("108以上_男",[11]データ貼り付けシート!$1:$2,2,FALSE))+IF(ISERROR(HLOOKUP("108_男",[11]データ貼り付けシート!$1:$2,2,FALSE)),0,HLOOKUP("108_男",[11]データ貼り付けシート!$1:$2,2,FALSE))</f>
        <v>0</v>
      </c>
      <c r="C111" s="124">
        <f>IF(ISERROR(HLOOKUP("108以上_女",[11]データ貼り付けシート!$1:$2,2,FALSE)),0,HLOOKUP("108以上_女",[11]データ貼り付けシート!$1:$2,2,FALSE))+IF(ISERROR(HLOOKUP("108_女",[11]データ貼り付けシート!$1:$2,2,FALSE)),0,HLOOKUP("108_女",[11]データ貼り付けシート!$1:$2,2,FALSE))</f>
        <v>0</v>
      </c>
      <c r="D111" s="124">
        <f t="shared" ref="D111:D113" si="0">B111+C111</f>
        <v>0</v>
      </c>
      <c r="E111" s="122"/>
    </row>
    <row r="112" spans="1:5" x14ac:dyDescent="0.4">
      <c r="A112" s="123" t="s">
        <v>188</v>
      </c>
      <c r="B112" s="124">
        <f>IF(ISERROR(HLOOKUP("109以上_男",[11]データ貼り付けシート!$1:$2,2,FALSE)),0,HLOOKUP("109以上_男",[11]データ貼り付けシート!$1:$2,2,FALSE))+IF(ISERROR(HLOOKUP("109_男",[11]データ貼り付けシート!$1:$2,2,FALSE)),0,HLOOKUP("109_男",[11]データ貼り付けシート!$1:$2,2,FALSE))</f>
        <v>0</v>
      </c>
      <c r="C112" s="124">
        <f>IF(ISERROR(HLOOKUP("109以上_女",[11]データ貼り付けシート!$1:$2,2,FALSE)),0,HLOOKUP("109以上_女",[11]データ貼り付けシート!$1:$2,2,FALSE))+IF(ISERROR(HLOOKUP("109_女",[11]データ貼り付けシート!$1:$2,2,FALSE)),0,HLOOKUP("109_女",[11]データ貼り付けシート!$1:$2,2,FALSE))</f>
        <v>0</v>
      </c>
      <c r="D112" s="124">
        <f t="shared" si="0"/>
        <v>0</v>
      </c>
      <c r="E112" s="122"/>
    </row>
    <row r="113" spans="1:5" x14ac:dyDescent="0.4">
      <c r="A113" s="123" t="s">
        <v>189</v>
      </c>
      <c r="B113" s="124">
        <f>IF(ISERROR(HLOOKUP("110以上_男",[11]データ貼り付けシート!$1:$2,2,FALSE)),0,HLOOKUP("110以上_男",[11]データ貼り付けシート!$1:$2,2,FALSE))+IF(ISERROR(HLOOKUP("110_男",[11]データ貼り付けシート!$1:$2,2,FALSE)),0,HLOOKUP("110_男",[11]データ貼り付けシート!$1:$2,2,FALSE))</f>
        <v>0</v>
      </c>
      <c r="C113" s="124">
        <f>IF(ISERROR(HLOOKUP("110以上_女",[11]データ貼り付けシート!$1:$2,2,FALSE)),0,HLOOKUP("107以上_女",[11]データ貼り付けシート!$1:$2,2,FALSE))+IF(ISERROR(HLOOKUP("110_女",[11]データ貼り付けシート!$1:$2,2,FALSE)),0,HLOOKUP("110_女",[11]データ貼り付けシート!$1:$2,2,FALSE))</f>
        <v>0</v>
      </c>
      <c r="D113" s="124">
        <f t="shared" si="0"/>
        <v>0</v>
      </c>
      <c r="E113" s="122"/>
    </row>
    <row r="114" spans="1:5" x14ac:dyDescent="0.4">
      <c r="A114" s="122"/>
      <c r="B114" s="125"/>
      <c r="C114" s="125"/>
      <c r="D114" s="125"/>
      <c r="E114" s="122"/>
    </row>
    <row r="115" spans="1:5" x14ac:dyDescent="0.4">
      <c r="A115" s="126" t="s">
        <v>0</v>
      </c>
      <c r="B115" s="126" t="s">
        <v>1</v>
      </c>
      <c r="C115" s="127" t="s">
        <v>2</v>
      </c>
      <c r="D115" s="121" t="s">
        <v>3</v>
      </c>
      <c r="E115" s="122"/>
    </row>
    <row r="116" spans="1:5" x14ac:dyDescent="0.4">
      <c r="A116" s="126" t="s">
        <v>115</v>
      </c>
      <c r="B116" s="128">
        <f>SUM(B3:B8)</f>
        <v>2342</v>
      </c>
      <c r="C116" s="129">
        <f>SUM(C3:C8)</f>
        <v>2259</v>
      </c>
      <c r="D116" s="124">
        <f>B116+C116</f>
        <v>4601</v>
      </c>
      <c r="E116" s="122"/>
    </row>
    <row r="117" spans="1:5" x14ac:dyDescent="0.4">
      <c r="A117" s="126" t="s">
        <v>116</v>
      </c>
      <c r="B117" s="128">
        <f>SUM(B9:B14)</f>
        <v>2188</v>
      </c>
      <c r="C117" s="128">
        <f>SUM(C9:C14)</f>
        <v>2093</v>
      </c>
      <c r="D117" s="124">
        <f>B117+C117</f>
        <v>4281</v>
      </c>
      <c r="E117" s="122"/>
    </row>
    <row r="118" spans="1:5" x14ac:dyDescent="0.4">
      <c r="A118" s="126" t="s">
        <v>117</v>
      </c>
      <c r="B118" s="128">
        <f>SUM(B15:B17)</f>
        <v>1161</v>
      </c>
      <c r="C118" s="128">
        <f>SUM(C15:C17)</f>
        <v>1108</v>
      </c>
      <c r="D118" s="124">
        <f>B118+C118</f>
        <v>2269</v>
      </c>
      <c r="E118" s="122"/>
    </row>
    <row r="119" spans="1:5" x14ac:dyDescent="0.4">
      <c r="A119" s="126" t="s">
        <v>190</v>
      </c>
      <c r="B119" s="128">
        <f>SUM(B116:B118)</f>
        <v>5691</v>
      </c>
      <c r="C119" s="128">
        <f>SUM(C116:C118)</f>
        <v>5460</v>
      </c>
      <c r="D119" s="128">
        <f>SUM(D116:D118)</f>
        <v>11151</v>
      </c>
      <c r="E119" s="130">
        <f>D119/D135</f>
        <v>0.12879120371439792</v>
      </c>
    </row>
    <row r="120" spans="1:5" x14ac:dyDescent="0.4">
      <c r="A120" s="122"/>
      <c r="B120" s="122"/>
      <c r="C120" s="122"/>
      <c r="D120" s="122"/>
      <c r="E120" s="122"/>
    </row>
    <row r="121" spans="1:5" x14ac:dyDescent="0.4">
      <c r="A121" s="121" t="s">
        <v>0</v>
      </c>
      <c r="B121" s="121" t="s">
        <v>1</v>
      </c>
      <c r="C121" s="121" t="s">
        <v>2</v>
      </c>
      <c r="D121" s="121" t="s">
        <v>3</v>
      </c>
      <c r="E121" s="122"/>
    </row>
    <row r="122" spans="1:5" x14ac:dyDescent="0.4">
      <c r="A122" s="121" t="s">
        <v>119</v>
      </c>
      <c r="B122" s="124">
        <f>SUM(B18:B20)</f>
        <v>1171</v>
      </c>
      <c r="C122" s="124">
        <f>SUM(C18:C20)</f>
        <v>1128</v>
      </c>
      <c r="D122" s="124">
        <f t="shared" ref="D122:D126" si="1">B122+C122</f>
        <v>2299</v>
      </c>
      <c r="E122" s="122"/>
    </row>
    <row r="123" spans="1:5" x14ac:dyDescent="0.4">
      <c r="A123" s="121" t="s">
        <v>120</v>
      </c>
      <c r="B123" s="124">
        <f>SUM(B21:B32)</f>
        <v>5956</v>
      </c>
      <c r="C123" s="124">
        <f>SUM(C21:C32)</f>
        <v>5502</v>
      </c>
      <c r="D123" s="124">
        <f t="shared" si="1"/>
        <v>11458</v>
      </c>
      <c r="E123" s="122"/>
    </row>
    <row r="124" spans="1:5" x14ac:dyDescent="0.4">
      <c r="A124" s="121" t="s">
        <v>121</v>
      </c>
      <c r="B124" s="124">
        <f>SUM(B33:B42)</f>
        <v>5651</v>
      </c>
      <c r="C124" s="124">
        <f>SUM(C33:C42)</f>
        <v>5349</v>
      </c>
      <c r="D124" s="124">
        <f t="shared" si="1"/>
        <v>11000</v>
      </c>
      <c r="E124" s="122"/>
    </row>
    <row r="125" spans="1:5" x14ac:dyDescent="0.4">
      <c r="A125" s="121" t="s">
        <v>122</v>
      </c>
      <c r="B125" s="124">
        <f>SUM(B43:B52)</f>
        <v>7244</v>
      </c>
      <c r="C125" s="124">
        <f>SUM(C43:C52)</f>
        <v>6692</v>
      </c>
      <c r="D125" s="124">
        <f t="shared" si="1"/>
        <v>13936</v>
      </c>
      <c r="E125" s="122"/>
    </row>
    <row r="126" spans="1:5" x14ac:dyDescent="0.4">
      <c r="A126" s="131" t="s">
        <v>123</v>
      </c>
      <c r="B126" s="124">
        <f>SUM(B53:B67)</f>
        <v>7591</v>
      </c>
      <c r="C126" s="124">
        <f>SUM(C53:C67)</f>
        <v>7004</v>
      </c>
      <c r="D126" s="124">
        <f t="shared" si="1"/>
        <v>14595</v>
      </c>
      <c r="E126" s="122"/>
    </row>
    <row r="127" spans="1:5" ht="24" x14ac:dyDescent="0.4">
      <c r="A127" s="126" t="s">
        <v>191</v>
      </c>
      <c r="B127" s="129">
        <f>SUM(B122:B126)</f>
        <v>27613</v>
      </c>
      <c r="C127" s="129">
        <f>SUM(C122:C126)</f>
        <v>25675</v>
      </c>
      <c r="D127" s="129">
        <f>SUM(D122:D126)</f>
        <v>53288</v>
      </c>
      <c r="E127" s="130">
        <f>D127/D135</f>
        <v>0.61546279827215822</v>
      </c>
    </row>
    <row r="128" spans="1:5" x14ac:dyDescent="0.4">
      <c r="A128" s="122"/>
      <c r="B128" s="122"/>
      <c r="C128" s="122"/>
      <c r="D128" s="122"/>
      <c r="E128" s="122"/>
    </row>
    <row r="129" spans="1:5" x14ac:dyDescent="0.4">
      <c r="A129" s="121" t="s">
        <v>0</v>
      </c>
      <c r="B129" s="121" t="s">
        <v>1</v>
      </c>
      <c r="C129" s="121" t="s">
        <v>2</v>
      </c>
      <c r="D129" s="121" t="s">
        <v>3</v>
      </c>
      <c r="E129" s="122"/>
    </row>
    <row r="130" spans="1:5" x14ac:dyDescent="0.4">
      <c r="A130" s="121" t="s">
        <v>125</v>
      </c>
      <c r="B130" s="124">
        <f>SUM(B68:B72)</f>
        <v>2405</v>
      </c>
      <c r="C130" s="124">
        <f>SUM(C68:C72)</f>
        <v>2689</v>
      </c>
      <c r="D130" s="124">
        <f t="shared" ref="D130:D131" si="2">B130+C130</f>
        <v>5094</v>
      </c>
      <c r="E130" s="122"/>
    </row>
    <row r="131" spans="1:5" x14ac:dyDescent="0.4">
      <c r="A131" s="131" t="s">
        <v>126</v>
      </c>
      <c r="B131" s="124">
        <f>SUM(B73:B113)</f>
        <v>7391</v>
      </c>
      <c r="C131" s="124">
        <f>SUM(C73:C113)</f>
        <v>9658</v>
      </c>
      <c r="D131" s="124">
        <f t="shared" si="2"/>
        <v>17049</v>
      </c>
      <c r="E131" s="122"/>
    </row>
    <row r="132" spans="1:5" x14ac:dyDescent="0.4">
      <c r="A132" s="126" t="s">
        <v>192</v>
      </c>
      <c r="B132" s="129">
        <f>SUM(B130:B131)</f>
        <v>9796</v>
      </c>
      <c r="C132" s="129">
        <f>SUM(C130:C131)</f>
        <v>12347</v>
      </c>
      <c r="D132" s="129">
        <f>SUM(D130:D131)</f>
        <v>22143</v>
      </c>
      <c r="E132" s="130">
        <f>D132/D135</f>
        <v>0.25574599801344389</v>
      </c>
    </row>
    <row r="133" spans="1:5" x14ac:dyDescent="0.4">
      <c r="A133" s="122"/>
      <c r="B133" s="122"/>
      <c r="C133" s="122"/>
      <c r="D133" s="122"/>
      <c r="E133" s="122"/>
    </row>
    <row r="134" spans="1:5" x14ac:dyDescent="0.4">
      <c r="A134" s="172" t="s">
        <v>128</v>
      </c>
      <c r="B134" s="121" t="s">
        <v>1</v>
      </c>
      <c r="C134" s="121" t="s">
        <v>2</v>
      </c>
      <c r="D134" s="121" t="s">
        <v>3</v>
      </c>
      <c r="E134" s="122"/>
    </row>
    <row r="135" spans="1:5" x14ac:dyDescent="0.4">
      <c r="A135" s="173"/>
      <c r="B135" s="124">
        <f>SUM(B3:B113)</f>
        <v>43100</v>
      </c>
      <c r="C135" s="124">
        <f>SUM(C3:C113)</f>
        <v>43482</v>
      </c>
      <c r="D135" s="124">
        <f>B135+C135</f>
        <v>86582</v>
      </c>
      <c r="E135" s="122"/>
    </row>
    <row r="137" spans="1:5" x14ac:dyDescent="0.4">
      <c r="A137" s="119" t="s">
        <v>129</v>
      </c>
    </row>
  </sheetData>
  <mergeCells count="2">
    <mergeCell ref="A1:E1"/>
    <mergeCell ref="A134:A135"/>
  </mergeCells>
  <phoneticPr fontId="16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7"/>
  <sheetViews>
    <sheetView workbookViewId="0">
      <selection activeCell="L100" sqref="L100"/>
    </sheetView>
  </sheetViews>
  <sheetFormatPr defaultRowHeight="18.75" x14ac:dyDescent="0.4"/>
  <cols>
    <col min="1" max="6" width="9" style="132"/>
    <col min="7" max="7" width="35.125" style="132" bestFit="1" customWidth="1"/>
    <col min="8" max="16384" width="9" style="132"/>
  </cols>
  <sheetData>
    <row r="1" spans="1:7" ht="19.5" x14ac:dyDescent="0.4">
      <c r="A1" s="174" t="str">
        <f>HLOOKUP("基準日",[12]データ貼り付けシート!$1:$2,2,FALSE)</f>
        <v>令和元年12月31日</v>
      </c>
      <c r="B1" s="174"/>
      <c r="C1" s="174"/>
      <c r="D1" s="174"/>
      <c r="E1" s="174"/>
      <c r="G1" s="133"/>
    </row>
    <row r="2" spans="1:7" x14ac:dyDescent="0.4">
      <c r="A2" s="134" t="s">
        <v>0</v>
      </c>
      <c r="B2" s="134" t="s">
        <v>1</v>
      </c>
      <c r="C2" s="134" t="s">
        <v>2</v>
      </c>
      <c r="D2" s="134" t="s">
        <v>3</v>
      </c>
      <c r="E2" s="135"/>
    </row>
    <row r="3" spans="1:7" x14ac:dyDescent="0.4">
      <c r="A3" s="136" t="s">
        <v>159</v>
      </c>
      <c r="B3" s="137">
        <f>HLOOKUP(SUBSTITUTE(CONCATENATE(SUBSTITUTE(SUBSTITUTE(A3,"歳","")," ",""),"_男")," ",""),[12]データ貼り付けシート!$1:$2,2,FALSE)</f>
        <v>399</v>
      </c>
      <c r="C3" s="137">
        <f>HLOOKUP(SUBSTITUTE(CONCATENATE(SUBSTITUTE(SUBSTITUTE(A3,"歳","")," ",""),"_女")," ",""),[12]データ貼り付けシート!$1:$2,2,FALSE)</f>
        <v>370</v>
      </c>
      <c r="D3" s="137">
        <f>HLOOKUP(SUBSTITUTE(CONCATENATE(SUBSTITUTE(SUBSTITUTE(A3,"歳","")," ",""),"_全体")," ",""),[12]データ貼り付けシート!$1:$2,2,FALSE)</f>
        <v>769</v>
      </c>
      <c r="E3" s="135"/>
    </row>
    <row r="4" spans="1:7" x14ac:dyDescent="0.4">
      <c r="A4" s="136" t="s">
        <v>5</v>
      </c>
      <c r="B4" s="137">
        <f>HLOOKUP(SUBSTITUTE(CONCATENATE(SUBSTITUTE(SUBSTITUTE(A4,"歳","")," ",""),"_男")," ",""),[12]データ貼り付けシート!$1:$2,2,FALSE)</f>
        <v>411</v>
      </c>
      <c r="C4" s="137">
        <f>HLOOKUP(SUBSTITUTE(CONCATENATE(SUBSTITUTE(SUBSTITUTE(A4,"歳","")," ",""),"_女")," ",""),[12]データ貼り付けシート!$1:$2,2,FALSE)</f>
        <v>394</v>
      </c>
      <c r="D4" s="137">
        <f>HLOOKUP(SUBSTITUTE(CONCATENATE(SUBSTITUTE(SUBSTITUTE(A4,"歳","")," ",""),"_全体")," ",""),[12]データ貼り付けシート!$1:$2,2,FALSE)</f>
        <v>805</v>
      </c>
      <c r="E4" s="135"/>
    </row>
    <row r="5" spans="1:7" x14ac:dyDescent="0.4">
      <c r="A5" s="136" t="s">
        <v>6</v>
      </c>
      <c r="B5" s="137">
        <f>HLOOKUP(SUBSTITUTE(CONCATENATE(SUBSTITUTE(SUBSTITUTE(A5,"歳","")," ",""),"_男")," ",""),[12]データ貼り付けシート!$1:$2,2,FALSE)</f>
        <v>402</v>
      </c>
      <c r="C5" s="137">
        <f>HLOOKUP(SUBSTITUTE(CONCATENATE(SUBSTITUTE(SUBSTITUTE(A5,"歳","")," ",""),"_女")," ",""),[12]データ貼り付けシート!$1:$2,2,FALSE)</f>
        <v>371</v>
      </c>
      <c r="D5" s="137">
        <f>HLOOKUP(SUBSTITUTE(CONCATENATE(SUBSTITUTE(SUBSTITUTE(A5,"歳","")," ",""),"_全体")," ",""),[12]データ貼り付けシート!$1:$2,2,FALSE)</f>
        <v>773</v>
      </c>
      <c r="E5" s="135"/>
    </row>
    <row r="6" spans="1:7" x14ac:dyDescent="0.4">
      <c r="A6" s="136" t="s">
        <v>7</v>
      </c>
      <c r="B6" s="137">
        <f>HLOOKUP(SUBSTITUTE(CONCATENATE(SUBSTITUTE(SUBSTITUTE(A6,"歳","")," ",""),"_男")," ",""),[12]データ貼り付けシート!$1:$2,2,FALSE)</f>
        <v>406</v>
      </c>
      <c r="C6" s="137">
        <f>HLOOKUP(SUBSTITUTE(CONCATENATE(SUBSTITUTE(SUBSTITUTE(A6,"歳","")," ",""),"_女")," ",""),[12]データ貼り付けシート!$1:$2,2,FALSE)</f>
        <v>380</v>
      </c>
      <c r="D6" s="137">
        <f>HLOOKUP(SUBSTITUTE(CONCATENATE(SUBSTITUTE(SUBSTITUTE(A6,"歳","")," ",""),"_全体")," ",""),[12]データ貼り付けシート!$1:$2,2,FALSE)</f>
        <v>786</v>
      </c>
      <c r="E6" s="135"/>
    </row>
    <row r="7" spans="1:7" x14ac:dyDescent="0.4">
      <c r="A7" s="136" t="s">
        <v>8</v>
      </c>
      <c r="B7" s="137">
        <f>HLOOKUP(SUBSTITUTE(CONCATENATE(SUBSTITUTE(SUBSTITUTE(A7,"歳","")," ",""),"_男")," ",""),[12]データ貼り付けシート!$1:$2,2,FALSE)</f>
        <v>370</v>
      </c>
      <c r="C7" s="137">
        <f>HLOOKUP(SUBSTITUTE(CONCATENATE(SUBSTITUTE(SUBSTITUTE(A7,"歳","")," ",""),"_女")," ",""),[12]データ貼り付けシート!$1:$2,2,FALSE)</f>
        <v>358</v>
      </c>
      <c r="D7" s="137">
        <f>HLOOKUP(SUBSTITUTE(CONCATENATE(SUBSTITUTE(SUBSTITUTE(A7,"歳","")," ",""),"_全体")," ",""),[12]データ貼り付けシート!$1:$2,2,FALSE)</f>
        <v>728</v>
      </c>
      <c r="E7" s="135"/>
    </row>
    <row r="8" spans="1:7" x14ac:dyDescent="0.4">
      <c r="A8" s="136" t="s">
        <v>9</v>
      </c>
      <c r="B8" s="137">
        <f>HLOOKUP(SUBSTITUTE(CONCATENATE(SUBSTITUTE(SUBSTITUTE(A8,"歳","")," ",""),"_男")," ",""),[12]データ貼り付けシート!$1:$2,2,FALSE)</f>
        <v>373</v>
      </c>
      <c r="C8" s="137">
        <f>HLOOKUP(SUBSTITUTE(CONCATENATE(SUBSTITUTE(SUBSTITUTE(A8,"歳","")," ",""),"_女")," ",""),[12]データ貼り付けシート!$1:$2,2,FALSE)</f>
        <v>383</v>
      </c>
      <c r="D8" s="137">
        <f>HLOOKUP(SUBSTITUTE(CONCATENATE(SUBSTITUTE(SUBSTITUTE(A8,"歳","")," ",""),"_全体")," ",""),[12]データ貼り付けシート!$1:$2,2,FALSE)</f>
        <v>756</v>
      </c>
      <c r="E8" s="135"/>
    </row>
    <row r="9" spans="1:7" x14ac:dyDescent="0.4">
      <c r="A9" s="136" t="s">
        <v>10</v>
      </c>
      <c r="B9" s="137">
        <f>HLOOKUP(SUBSTITUTE(CONCATENATE(SUBSTITUTE(SUBSTITUTE(A9,"歳","")," ",""),"_男")," ",""),[12]データ貼り付けシート!$1:$2,2,FALSE)</f>
        <v>373</v>
      </c>
      <c r="C9" s="137">
        <f>HLOOKUP(SUBSTITUTE(CONCATENATE(SUBSTITUTE(SUBSTITUTE(A9,"歳","")," ",""),"_女")," ",""),[12]データ貼り付けシート!$1:$2,2,FALSE)</f>
        <v>316</v>
      </c>
      <c r="D9" s="137">
        <f>HLOOKUP(SUBSTITUTE(CONCATENATE(SUBSTITUTE(SUBSTITUTE(A9,"歳","")," ",""),"_全体")," ",""),[12]データ貼り付けシート!$1:$2,2,FALSE)</f>
        <v>689</v>
      </c>
      <c r="E9" s="135"/>
    </row>
    <row r="10" spans="1:7" x14ac:dyDescent="0.4">
      <c r="A10" s="136" t="s">
        <v>11</v>
      </c>
      <c r="B10" s="137">
        <f>HLOOKUP(SUBSTITUTE(CONCATENATE(SUBSTITUTE(SUBSTITUTE(A10,"歳","")," ",""),"_男")," ",""),[12]データ貼り付けシート!$1:$2,2,FALSE)</f>
        <v>358</v>
      </c>
      <c r="C10" s="137">
        <f>HLOOKUP(SUBSTITUTE(CONCATENATE(SUBSTITUTE(SUBSTITUTE(A10,"歳","")," ",""),"_女")," ",""),[12]データ貼り付けシート!$1:$2,2,FALSE)</f>
        <v>353</v>
      </c>
      <c r="D10" s="137">
        <f>HLOOKUP(SUBSTITUTE(CONCATENATE(SUBSTITUTE(SUBSTITUTE(A10,"歳","")," ",""),"_全体")," ",""),[12]データ貼り付けシート!$1:$2,2,FALSE)</f>
        <v>711</v>
      </c>
      <c r="E10" s="135"/>
    </row>
    <row r="11" spans="1:7" x14ac:dyDescent="0.4">
      <c r="A11" s="136" t="s">
        <v>12</v>
      </c>
      <c r="B11" s="137">
        <f>HLOOKUP(SUBSTITUTE(CONCATENATE(SUBSTITUTE(SUBSTITUTE(A11,"歳","")," ",""),"_男")," ",""),[12]データ貼り付けシート!$1:$2,2,FALSE)</f>
        <v>353</v>
      </c>
      <c r="C11" s="137">
        <f>HLOOKUP(SUBSTITUTE(CONCATENATE(SUBSTITUTE(SUBSTITUTE(A11,"歳","")," ",""),"_女")," ",""),[12]データ貼り付けシート!$1:$2,2,FALSE)</f>
        <v>371</v>
      </c>
      <c r="D11" s="137">
        <f>HLOOKUP(SUBSTITUTE(CONCATENATE(SUBSTITUTE(SUBSTITUTE(A11,"歳","")," ",""),"_全体")," ",""),[12]データ貼り付けシート!$1:$2,2,FALSE)</f>
        <v>724</v>
      </c>
      <c r="E11" s="135"/>
    </row>
    <row r="12" spans="1:7" x14ac:dyDescent="0.4">
      <c r="A12" s="136" t="s">
        <v>13</v>
      </c>
      <c r="B12" s="137">
        <f>HLOOKUP(SUBSTITUTE(CONCATENATE(SUBSTITUTE(SUBSTITUTE(A12,"歳","")," ",""),"_男")," ",""),[12]データ貼り付けシート!$1:$2,2,FALSE)</f>
        <v>372</v>
      </c>
      <c r="C12" s="137">
        <f>HLOOKUP(SUBSTITUTE(CONCATENATE(SUBSTITUTE(SUBSTITUTE(A12,"歳","")," ",""),"_女")," ",""),[12]データ貼り付けシート!$1:$2,2,FALSE)</f>
        <v>361</v>
      </c>
      <c r="D12" s="137">
        <f>HLOOKUP(SUBSTITUTE(CONCATENATE(SUBSTITUTE(SUBSTITUTE(A12,"歳","")," ",""),"_全体")," ",""),[12]データ貼り付けシート!$1:$2,2,FALSE)</f>
        <v>733</v>
      </c>
      <c r="E12" s="135"/>
    </row>
    <row r="13" spans="1:7" x14ac:dyDescent="0.4">
      <c r="A13" s="136" t="s">
        <v>14</v>
      </c>
      <c r="B13" s="137">
        <f>HLOOKUP(SUBSTITUTE(CONCATENATE(SUBSTITUTE(SUBSTITUTE(A13,"歳","")," ",""),"_男")," ",""),[12]データ貼り付けシート!$1:$2,2,FALSE)</f>
        <v>401</v>
      </c>
      <c r="C13" s="137">
        <f>HLOOKUP(SUBSTITUTE(CONCATENATE(SUBSTITUTE(SUBSTITUTE(A13,"歳","")," ",""),"_女")," ",""),[12]データ貼り付けシート!$1:$2,2,FALSE)</f>
        <v>341</v>
      </c>
      <c r="D13" s="137">
        <f>HLOOKUP(SUBSTITUTE(CONCATENATE(SUBSTITUTE(SUBSTITUTE(A13,"歳","")," ",""),"_全体")," ",""),[12]データ貼り付けシート!$1:$2,2,FALSE)</f>
        <v>742</v>
      </c>
      <c r="E13" s="135"/>
    </row>
    <row r="14" spans="1:7" x14ac:dyDescent="0.4">
      <c r="A14" s="136" t="s">
        <v>15</v>
      </c>
      <c r="B14" s="137">
        <f>HLOOKUP(SUBSTITUTE(CONCATENATE(SUBSTITUTE(SUBSTITUTE(A14,"歳","")," ",""),"_男")," ",""),[12]データ貼り付けシート!$1:$2,2,FALSE)</f>
        <v>327</v>
      </c>
      <c r="C14" s="137">
        <f>HLOOKUP(SUBSTITUTE(CONCATENATE(SUBSTITUTE(SUBSTITUTE(A14,"歳","")," ",""),"_女")," ",""),[12]データ貼り付けシート!$1:$2,2,FALSE)</f>
        <v>354</v>
      </c>
      <c r="D14" s="137">
        <f>HLOOKUP(SUBSTITUTE(CONCATENATE(SUBSTITUTE(SUBSTITUTE(A14,"歳","")," ",""),"_全体")," ",""),[12]データ貼り付けシート!$1:$2,2,FALSE)</f>
        <v>681</v>
      </c>
      <c r="E14" s="135"/>
    </row>
    <row r="15" spans="1:7" x14ac:dyDescent="0.4">
      <c r="A15" s="136" t="s">
        <v>16</v>
      </c>
      <c r="B15" s="137">
        <f>HLOOKUP(SUBSTITUTE(CONCATENATE(SUBSTITUTE(SUBSTITUTE(A15,"歳","")," ",""),"_男")," ",""),[12]データ貼り付けシート!$1:$2,2,FALSE)</f>
        <v>360</v>
      </c>
      <c r="C15" s="137">
        <f>HLOOKUP(SUBSTITUTE(CONCATENATE(SUBSTITUTE(SUBSTITUTE(A15,"歳","")," ",""),"_女")," ",""),[12]データ貼り付けシート!$1:$2,2,FALSE)</f>
        <v>384</v>
      </c>
      <c r="D15" s="137">
        <f>HLOOKUP(SUBSTITUTE(CONCATENATE(SUBSTITUTE(SUBSTITUTE(A15,"歳","")," ",""),"_全体")," ",""),[12]データ貼り付けシート!$1:$2,2,FALSE)</f>
        <v>744</v>
      </c>
      <c r="E15" s="135"/>
    </row>
    <row r="16" spans="1:7" x14ac:dyDescent="0.4">
      <c r="A16" s="136" t="s">
        <v>17</v>
      </c>
      <c r="B16" s="137">
        <f>HLOOKUP(SUBSTITUTE(CONCATENATE(SUBSTITUTE(SUBSTITUTE(A16,"歳","")," ",""),"_男")," ",""),[12]データ貼り付けシート!$1:$2,2,FALSE)</f>
        <v>416</v>
      </c>
      <c r="C16" s="137">
        <f>HLOOKUP(SUBSTITUTE(CONCATENATE(SUBSTITUTE(SUBSTITUTE(A16,"歳","")," ",""),"_女")," ",""),[12]データ貼り付けシート!$1:$2,2,FALSE)</f>
        <v>343</v>
      </c>
      <c r="D16" s="137">
        <f>HLOOKUP(SUBSTITUTE(CONCATENATE(SUBSTITUTE(SUBSTITUTE(A16,"歳","")," ",""),"_全体")," ",""),[12]データ貼り付けシート!$1:$2,2,FALSE)</f>
        <v>759</v>
      </c>
      <c r="E16" s="135"/>
    </row>
    <row r="17" spans="1:5" x14ac:dyDescent="0.4">
      <c r="A17" s="136" t="s">
        <v>18</v>
      </c>
      <c r="B17" s="137">
        <f>HLOOKUP(SUBSTITUTE(CONCATENATE(SUBSTITUTE(SUBSTITUTE(A17,"歳","")," ",""),"_男")," ",""),[12]データ貼り付けシート!$1:$2,2,FALSE)</f>
        <v>372</v>
      </c>
      <c r="C17" s="137">
        <f>HLOOKUP(SUBSTITUTE(CONCATENATE(SUBSTITUTE(SUBSTITUTE(A17,"歳","")," ",""),"_女")," ",""),[12]データ貼り付けシート!$1:$2,2,FALSE)</f>
        <v>381</v>
      </c>
      <c r="D17" s="137">
        <f>HLOOKUP(SUBSTITUTE(CONCATENATE(SUBSTITUTE(SUBSTITUTE(A17,"歳","")," ",""),"_全体")," ",""),[12]データ貼り付けシート!$1:$2,2,FALSE)</f>
        <v>753</v>
      </c>
      <c r="E17" s="135"/>
    </row>
    <row r="18" spans="1:5" x14ac:dyDescent="0.4">
      <c r="A18" s="136" t="s">
        <v>19</v>
      </c>
      <c r="B18" s="137">
        <f>HLOOKUP(SUBSTITUTE(CONCATENATE(SUBSTITUTE(SUBSTITUTE(A18,"歳","")," ",""),"_男")," ",""),[12]データ貼り付けシート!$1:$2,2,FALSE)</f>
        <v>412</v>
      </c>
      <c r="C18" s="137">
        <f>HLOOKUP(SUBSTITUTE(CONCATENATE(SUBSTITUTE(SUBSTITUTE(A18,"歳","")," ",""),"_女")," ",""),[12]データ貼り付けシート!$1:$2,2,FALSE)</f>
        <v>358</v>
      </c>
      <c r="D18" s="137">
        <f>HLOOKUP(SUBSTITUTE(CONCATENATE(SUBSTITUTE(SUBSTITUTE(A18,"歳","")," ",""),"_全体")," ",""),[12]データ貼り付けシート!$1:$2,2,FALSE)</f>
        <v>770</v>
      </c>
      <c r="E18" s="135"/>
    </row>
    <row r="19" spans="1:5" x14ac:dyDescent="0.4">
      <c r="A19" s="136" t="s">
        <v>20</v>
      </c>
      <c r="B19" s="137">
        <f>HLOOKUP(SUBSTITUTE(CONCATENATE(SUBSTITUTE(SUBSTITUTE(A19,"歳","")," ",""),"_男")," ",""),[12]データ貼り付けシート!$1:$2,2,FALSE)</f>
        <v>381</v>
      </c>
      <c r="C19" s="137">
        <f>HLOOKUP(SUBSTITUTE(CONCATENATE(SUBSTITUTE(SUBSTITUTE(A19,"歳","")," ",""),"_女")," ",""),[12]データ貼り付けシート!$1:$2,2,FALSE)</f>
        <v>357</v>
      </c>
      <c r="D19" s="137">
        <f>HLOOKUP(SUBSTITUTE(CONCATENATE(SUBSTITUTE(SUBSTITUTE(A19,"歳","")," ",""),"_全体")," ",""),[12]データ貼り付けシート!$1:$2,2,FALSE)</f>
        <v>738</v>
      </c>
      <c r="E19" s="135"/>
    </row>
    <row r="20" spans="1:5" x14ac:dyDescent="0.4">
      <c r="A20" s="136" t="s">
        <v>21</v>
      </c>
      <c r="B20" s="137">
        <f>HLOOKUP(SUBSTITUTE(CONCATENATE(SUBSTITUTE(SUBSTITUTE(A20,"歳","")," ",""),"_男")," ",""),[12]データ貼り付けシート!$1:$2,2,FALSE)</f>
        <v>400</v>
      </c>
      <c r="C20" s="137">
        <f>HLOOKUP(SUBSTITUTE(CONCATENATE(SUBSTITUTE(SUBSTITUTE(A20,"歳","")," ",""),"_女")," ",""),[12]データ貼り付けシート!$1:$2,2,FALSE)</f>
        <v>396</v>
      </c>
      <c r="D20" s="137">
        <f>HLOOKUP(SUBSTITUTE(CONCATENATE(SUBSTITUTE(SUBSTITUTE(A20,"歳","")," ",""),"_全体")," ",""),[12]データ貼り付けシート!$1:$2,2,FALSE)</f>
        <v>796</v>
      </c>
      <c r="E20" s="135"/>
    </row>
    <row r="21" spans="1:5" x14ac:dyDescent="0.4">
      <c r="A21" s="136" t="s">
        <v>22</v>
      </c>
      <c r="B21" s="137">
        <f>HLOOKUP(SUBSTITUTE(CONCATENATE(SUBSTITUTE(SUBSTITUTE(A21,"歳","")," ",""),"_男")," ",""),[12]データ貼り付けシート!$1:$2,2,FALSE)</f>
        <v>442</v>
      </c>
      <c r="C21" s="137">
        <f>HLOOKUP(SUBSTITUTE(CONCATENATE(SUBSTITUTE(SUBSTITUTE(A21,"歳","")," ",""),"_女")," ",""),[12]データ貼り付けシート!$1:$2,2,FALSE)</f>
        <v>393</v>
      </c>
      <c r="D21" s="137">
        <f>HLOOKUP(SUBSTITUTE(CONCATENATE(SUBSTITUTE(SUBSTITUTE(A21,"歳","")," ",""),"_全体")," ",""),[12]データ貼り付けシート!$1:$2,2,FALSE)</f>
        <v>835</v>
      </c>
      <c r="E21" s="135"/>
    </row>
    <row r="22" spans="1:5" x14ac:dyDescent="0.4">
      <c r="A22" s="136" t="s">
        <v>23</v>
      </c>
      <c r="B22" s="137">
        <f>HLOOKUP(SUBSTITUTE(CONCATENATE(SUBSTITUTE(SUBSTITUTE(A22,"歳","")," ",""),"_男")," ",""),[12]データ貼り付けシート!$1:$2,2,FALSE)</f>
        <v>451</v>
      </c>
      <c r="C22" s="137">
        <f>HLOOKUP(SUBSTITUTE(CONCATENATE(SUBSTITUTE(SUBSTITUTE(A22,"歳","")," ",""),"_女")," ",""),[12]データ貼り付けシート!$1:$2,2,FALSE)</f>
        <v>417</v>
      </c>
      <c r="D22" s="137">
        <f>HLOOKUP(SUBSTITUTE(CONCATENATE(SUBSTITUTE(SUBSTITUTE(A22,"歳","")," ",""),"_全体")," ",""),[12]データ貼り付けシート!$1:$2,2,FALSE)</f>
        <v>868</v>
      </c>
      <c r="E22" s="135"/>
    </row>
    <row r="23" spans="1:5" x14ac:dyDescent="0.4">
      <c r="A23" s="136" t="s">
        <v>24</v>
      </c>
      <c r="B23" s="137">
        <f>HLOOKUP(SUBSTITUTE(CONCATENATE(SUBSTITUTE(SUBSTITUTE(A23,"歳","")," ",""),"_男")," ",""),[12]データ貼り付けシート!$1:$2,2,FALSE)</f>
        <v>481</v>
      </c>
      <c r="C23" s="137">
        <f>HLOOKUP(SUBSTITUTE(CONCATENATE(SUBSTITUTE(SUBSTITUTE(A23,"歳","")," ",""),"_女")," ",""),[12]データ貼り付けシート!$1:$2,2,FALSE)</f>
        <v>439</v>
      </c>
      <c r="D23" s="137">
        <f>HLOOKUP(SUBSTITUTE(CONCATENATE(SUBSTITUTE(SUBSTITUTE(A23,"歳","")," ",""),"_全体")," ",""),[12]データ貼り付けシート!$1:$2,2,FALSE)</f>
        <v>920</v>
      </c>
      <c r="E23" s="135"/>
    </row>
    <row r="24" spans="1:5" x14ac:dyDescent="0.4">
      <c r="A24" s="136" t="s">
        <v>25</v>
      </c>
      <c r="B24" s="137">
        <f>HLOOKUP(SUBSTITUTE(CONCATENATE(SUBSTITUTE(SUBSTITUTE(A24,"歳","")," ",""),"_男")," ",""),[12]データ貼り付けシート!$1:$2,2,FALSE)</f>
        <v>497</v>
      </c>
      <c r="C24" s="137">
        <f>HLOOKUP(SUBSTITUTE(CONCATENATE(SUBSTITUTE(SUBSTITUTE(A24,"歳","")," ",""),"_女")," ",""),[12]データ貼り付けシート!$1:$2,2,FALSE)</f>
        <v>429</v>
      </c>
      <c r="D24" s="137">
        <f>HLOOKUP(SUBSTITUTE(CONCATENATE(SUBSTITUTE(SUBSTITUTE(A24,"歳","")," ",""),"_全体")," ",""),[12]データ貼り付けシート!$1:$2,2,FALSE)</f>
        <v>926</v>
      </c>
      <c r="E24" s="135"/>
    </row>
    <row r="25" spans="1:5" x14ac:dyDescent="0.4">
      <c r="A25" s="136" t="s">
        <v>26</v>
      </c>
      <c r="B25" s="137">
        <f>HLOOKUP(SUBSTITUTE(CONCATENATE(SUBSTITUTE(SUBSTITUTE(A25,"歳","")," ",""),"_男")," ",""),[12]データ貼り付けシート!$1:$2,2,FALSE)</f>
        <v>459</v>
      </c>
      <c r="C25" s="137">
        <f>HLOOKUP(SUBSTITUTE(CONCATENATE(SUBSTITUTE(SUBSTITUTE(A25,"歳","")," ",""),"_女")," ",""),[12]データ貼り付けシート!$1:$2,2,FALSE)</f>
        <v>446</v>
      </c>
      <c r="D25" s="137">
        <f>HLOOKUP(SUBSTITUTE(CONCATENATE(SUBSTITUTE(SUBSTITUTE(A25,"歳","")," ",""),"_全体")," ",""),[12]データ貼り付けシート!$1:$2,2,FALSE)</f>
        <v>905</v>
      </c>
      <c r="E25" s="135"/>
    </row>
    <row r="26" spans="1:5" x14ac:dyDescent="0.4">
      <c r="A26" s="136" t="s">
        <v>27</v>
      </c>
      <c r="B26" s="137">
        <f>HLOOKUP(SUBSTITUTE(CONCATENATE(SUBSTITUTE(SUBSTITUTE(A26,"歳","")," ",""),"_男")," ",""),[12]データ貼り付けシート!$1:$2,2,FALSE)</f>
        <v>506</v>
      </c>
      <c r="C26" s="137">
        <f>HLOOKUP(SUBSTITUTE(CONCATENATE(SUBSTITUTE(SUBSTITUTE(A26,"歳","")," ",""),"_女")," ",""),[12]データ貼り付けシート!$1:$2,2,FALSE)</f>
        <v>464</v>
      </c>
      <c r="D26" s="137">
        <f>HLOOKUP(SUBSTITUTE(CONCATENATE(SUBSTITUTE(SUBSTITUTE(A26,"歳","")," ",""),"_全体")," ",""),[12]データ貼り付けシート!$1:$2,2,FALSE)</f>
        <v>970</v>
      </c>
      <c r="E26" s="135"/>
    </row>
    <row r="27" spans="1:5" x14ac:dyDescent="0.4">
      <c r="A27" s="136" t="s">
        <v>28</v>
      </c>
      <c r="B27" s="137">
        <f>HLOOKUP(SUBSTITUTE(CONCATENATE(SUBSTITUTE(SUBSTITUTE(A27,"歳","")," ",""),"_男")," ",""),[12]データ貼り付けシート!$1:$2,2,FALSE)</f>
        <v>508</v>
      </c>
      <c r="C27" s="137">
        <f>HLOOKUP(SUBSTITUTE(CONCATENATE(SUBSTITUTE(SUBSTITUTE(A27,"歳","")," ",""),"_女")," ",""),[12]データ貼り付けシート!$1:$2,2,FALSE)</f>
        <v>442</v>
      </c>
      <c r="D27" s="137">
        <f>HLOOKUP(SUBSTITUTE(CONCATENATE(SUBSTITUTE(SUBSTITUTE(A27,"歳","")," ",""),"_全体")," ",""),[12]データ貼り付けシート!$1:$2,2,FALSE)</f>
        <v>950</v>
      </c>
      <c r="E27" s="135"/>
    </row>
    <row r="28" spans="1:5" x14ac:dyDescent="0.4">
      <c r="A28" s="136" t="s">
        <v>29</v>
      </c>
      <c r="B28" s="137">
        <f>HLOOKUP(SUBSTITUTE(CONCATENATE(SUBSTITUTE(SUBSTITUTE(A28,"歳","")," ",""),"_男")," ",""),[12]データ貼り付けシート!$1:$2,2,FALSE)</f>
        <v>512</v>
      </c>
      <c r="C28" s="137">
        <f>HLOOKUP(SUBSTITUTE(CONCATENATE(SUBSTITUTE(SUBSTITUTE(A28,"歳","")," ",""),"_女")," ",""),[12]データ貼り付けシート!$1:$2,2,FALSE)</f>
        <v>453</v>
      </c>
      <c r="D28" s="137">
        <f>HLOOKUP(SUBSTITUTE(CONCATENATE(SUBSTITUTE(SUBSTITUTE(A28,"歳","")," ",""),"_全体")," ",""),[12]データ貼り付けシート!$1:$2,2,FALSE)</f>
        <v>965</v>
      </c>
      <c r="E28" s="135"/>
    </row>
    <row r="29" spans="1:5" x14ac:dyDescent="0.4">
      <c r="A29" s="136" t="s">
        <v>30</v>
      </c>
      <c r="B29" s="137">
        <f>HLOOKUP(SUBSTITUTE(CONCATENATE(SUBSTITUTE(SUBSTITUTE(A29,"歳","")," ",""),"_男")," ",""),[12]データ貼り付けシート!$1:$2,2,FALSE)</f>
        <v>528</v>
      </c>
      <c r="C29" s="137">
        <f>HLOOKUP(SUBSTITUTE(CONCATENATE(SUBSTITUTE(SUBSTITUTE(A29,"歳","")," ",""),"_女")," ",""),[12]データ貼り付けシート!$1:$2,2,FALSE)</f>
        <v>467</v>
      </c>
      <c r="D29" s="137">
        <f>HLOOKUP(SUBSTITUTE(CONCATENATE(SUBSTITUTE(SUBSTITUTE(A29,"歳","")," ",""),"_全体")," ",""),[12]データ貼り付けシート!$1:$2,2,FALSE)</f>
        <v>995</v>
      </c>
      <c r="E29" s="135"/>
    </row>
    <row r="30" spans="1:5" x14ac:dyDescent="0.4">
      <c r="A30" s="136" t="s">
        <v>31</v>
      </c>
      <c r="B30" s="137">
        <f>HLOOKUP(SUBSTITUTE(CONCATENATE(SUBSTITUTE(SUBSTITUTE(A30,"歳","")," ",""),"_男")," ",""),[12]データ貼り付けシート!$1:$2,2,FALSE)</f>
        <v>486</v>
      </c>
      <c r="C30" s="137">
        <f>HLOOKUP(SUBSTITUTE(CONCATENATE(SUBSTITUTE(SUBSTITUTE(A30,"歳","")," ",""),"_女")," ",""),[12]データ貼り付けシート!$1:$2,2,FALSE)</f>
        <v>505</v>
      </c>
      <c r="D30" s="137">
        <f>HLOOKUP(SUBSTITUTE(CONCATENATE(SUBSTITUTE(SUBSTITUTE(A30,"歳","")," ",""),"_全体")," ",""),[12]データ貼り付けシート!$1:$2,2,FALSE)</f>
        <v>991</v>
      </c>
      <c r="E30" s="135"/>
    </row>
    <row r="31" spans="1:5" x14ac:dyDescent="0.4">
      <c r="A31" s="136" t="s">
        <v>32</v>
      </c>
      <c r="B31" s="137">
        <f>HLOOKUP(SUBSTITUTE(CONCATENATE(SUBSTITUTE(SUBSTITUTE(A31,"歳","")," ",""),"_男")," ",""),[12]データ貼り付けシート!$1:$2,2,FALSE)</f>
        <v>529</v>
      </c>
      <c r="C31" s="137">
        <f>HLOOKUP(SUBSTITUTE(CONCATENATE(SUBSTITUTE(SUBSTITUTE(A31,"歳","")," ",""),"_女")," ",""),[12]データ貼り付けシート!$1:$2,2,FALSE)</f>
        <v>487</v>
      </c>
      <c r="D31" s="137">
        <f>HLOOKUP(SUBSTITUTE(CONCATENATE(SUBSTITUTE(SUBSTITUTE(A31,"歳","")," ",""),"_全体")," ",""),[12]データ貼り付けシート!$1:$2,2,FALSE)</f>
        <v>1016</v>
      </c>
      <c r="E31" s="135"/>
    </row>
    <row r="32" spans="1:5" x14ac:dyDescent="0.4">
      <c r="A32" s="136" t="s">
        <v>33</v>
      </c>
      <c r="B32" s="137">
        <f>HLOOKUP(SUBSTITUTE(CONCATENATE(SUBSTITUTE(SUBSTITUTE(A32,"歳","")," ",""),"_男")," ",""),[12]データ貼り付けシート!$1:$2,2,FALSE)</f>
        <v>553</v>
      </c>
      <c r="C32" s="137">
        <f>HLOOKUP(SUBSTITUTE(CONCATENATE(SUBSTITUTE(SUBSTITUTE(A32,"歳","")," ",""),"_女")," ",""),[12]データ貼り付けシート!$1:$2,2,FALSE)</f>
        <v>559</v>
      </c>
      <c r="D32" s="137">
        <f>HLOOKUP(SUBSTITUTE(CONCATENATE(SUBSTITUTE(SUBSTITUTE(A32,"歳","")," ",""),"_全体")," ",""),[12]データ貼り付けシート!$1:$2,2,FALSE)</f>
        <v>1112</v>
      </c>
      <c r="E32" s="135"/>
    </row>
    <row r="33" spans="1:5" x14ac:dyDescent="0.4">
      <c r="A33" s="136" t="s">
        <v>34</v>
      </c>
      <c r="B33" s="137">
        <f>HLOOKUP(SUBSTITUTE(CONCATENATE(SUBSTITUTE(SUBSTITUTE(A33,"歳","")," ",""),"_男")," ",""),[12]データ貼り付けシート!$1:$2,2,FALSE)</f>
        <v>527</v>
      </c>
      <c r="C33" s="137">
        <f>HLOOKUP(SUBSTITUTE(CONCATENATE(SUBSTITUTE(SUBSTITUTE(A33,"歳","")," ",""),"_女")," ",""),[12]データ貼り付けシート!$1:$2,2,FALSE)</f>
        <v>507</v>
      </c>
      <c r="D33" s="137">
        <f>HLOOKUP(SUBSTITUTE(CONCATENATE(SUBSTITUTE(SUBSTITUTE(A33,"歳","")," ",""),"_全体")," ",""),[12]データ貼り付けシート!$1:$2,2,FALSE)</f>
        <v>1034</v>
      </c>
      <c r="E33" s="135"/>
    </row>
    <row r="34" spans="1:5" x14ac:dyDescent="0.4">
      <c r="A34" s="136" t="s">
        <v>35</v>
      </c>
      <c r="B34" s="137">
        <f>HLOOKUP(SUBSTITUTE(CONCATENATE(SUBSTITUTE(SUBSTITUTE(A34,"歳","")," ",""),"_男")," ",""),[12]データ貼り付けシート!$1:$2,2,FALSE)</f>
        <v>599</v>
      </c>
      <c r="C34" s="137">
        <f>HLOOKUP(SUBSTITUTE(CONCATENATE(SUBSTITUTE(SUBSTITUTE(A34,"歳","")," ",""),"_女")," ",""),[12]データ貼り付けシート!$1:$2,2,FALSE)</f>
        <v>554</v>
      </c>
      <c r="D34" s="137">
        <f>HLOOKUP(SUBSTITUTE(CONCATENATE(SUBSTITUTE(SUBSTITUTE(A34,"歳","")," ",""),"_全体")," ",""),[12]データ貼り付けシート!$1:$2,2,FALSE)</f>
        <v>1153</v>
      </c>
      <c r="E34" s="135"/>
    </row>
    <row r="35" spans="1:5" x14ac:dyDescent="0.4">
      <c r="A35" s="136" t="s">
        <v>36</v>
      </c>
      <c r="B35" s="137">
        <f>HLOOKUP(SUBSTITUTE(CONCATENATE(SUBSTITUTE(SUBSTITUTE(A35,"歳","")," ",""),"_男")," ",""),[12]データ貼り付けシート!$1:$2,2,FALSE)</f>
        <v>531</v>
      </c>
      <c r="C35" s="137">
        <f>HLOOKUP(SUBSTITUTE(CONCATENATE(SUBSTITUTE(SUBSTITUTE(A35,"歳","")," ",""),"_女")," ",""),[12]データ貼り付けシート!$1:$2,2,FALSE)</f>
        <v>520</v>
      </c>
      <c r="D35" s="137">
        <f>HLOOKUP(SUBSTITUTE(CONCATENATE(SUBSTITUTE(SUBSTITUTE(A35,"歳","")," ",""),"_全体")," ",""),[12]データ貼り付けシート!$1:$2,2,FALSE)</f>
        <v>1051</v>
      </c>
      <c r="E35" s="135"/>
    </row>
    <row r="36" spans="1:5" x14ac:dyDescent="0.4">
      <c r="A36" s="136" t="s">
        <v>37</v>
      </c>
      <c r="B36" s="137">
        <f>HLOOKUP(SUBSTITUTE(CONCATENATE(SUBSTITUTE(SUBSTITUTE(A36,"歳","")," ",""),"_男")," ",""),[12]データ貼り付けシート!$1:$2,2,FALSE)</f>
        <v>537</v>
      </c>
      <c r="C36" s="137">
        <f>HLOOKUP(SUBSTITUTE(CONCATENATE(SUBSTITUTE(SUBSTITUTE(A36,"歳","")," ",""),"_女")," ",""),[12]データ貼り付けシート!$1:$2,2,FALSE)</f>
        <v>527</v>
      </c>
      <c r="D36" s="137">
        <f>HLOOKUP(SUBSTITUTE(CONCATENATE(SUBSTITUTE(SUBSTITUTE(A36,"歳","")," ",""),"_全体")," ",""),[12]データ貼り付けシート!$1:$2,2,FALSE)</f>
        <v>1064</v>
      </c>
      <c r="E36" s="135"/>
    </row>
    <row r="37" spans="1:5" x14ac:dyDescent="0.4">
      <c r="A37" s="136" t="s">
        <v>38</v>
      </c>
      <c r="B37" s="137">
        <f>HLOOKUP(SUBSTITUTE(CONCATENATE(SUBSTITUTE(SUBSTITUTE(A37,"歳","")," ",""),"_男")," ",""),[12]データ貼り付けシート!$1:$2,2,FALSE)</f>
        <v>577</v>
      </c>
      <c r="C37" s="137">
        <f>HLOOKUP(SUBSTITUTE(CONCATENATE(SUBSTITUTE(SUBSTITUTE(A37,"歳","")," ",""),"_女")," ",""),[12]データ貼り付けシート!$1:$2,2,FALSE)</f>
        <v>560</v>
      </c>
      <c r="D37" s="137">
        <f>HLOOKUP(SUBSTITUTE(CONCATENATE(SUBSTITUTE(SUBSTITUTE(A37,"歳","")," ",""),"_全体")," ",""),[12]データ貼り付けシート!$1:$2,2,FALSE)</f>
        <v>1137</v>
      </c>
      <c r="E37" s="135"/>
    </row>
    <row r="38" spans="1:5" x14ac:dyDescent="0.4">
      <c r="A38" s="136" t="s">
        <v>39</v>
      </c>
      <c r="B38" s="137">
        <f>HLOOKUP(SUBSTITUTE(CONCATENATE(SUBSTITUTE(SUBSTITUTE(A38,"歳","")," ",""),"_男")," ",""),[12]データ貼り付けシート!$1:$2,2,FALSE)</f>
        <v>585</v>
      </c>
      <c r="C38" s="137">
        <f>HLOOKUP(SUBSTITUTE(CONCATENATE(SUBSTITUTE(SUBSTITUTE(A38,"歳","")," ",""),"_女")," ",""),[12]データ貼り付けシート!$1:$2,2,FALSE)</f>
        <v>486</v>
      </c>
      <c r="D38" s="137">
        <f>HLOOKUP(SUBSTITUTE(CONCATENATE(SUBSTITUTE(SUBSTITUTE(A38,"歳","")," ",""),"_全体")," ",""),[12]データ貼り付けシート!$1:$2,2,FALSE)</f>
        <v>1071</v>
      </c>
      <c r="E38" s="135"/>
    </row>
    <row r="39" spans="1:5" x14ac:dyDescent="0.4">
      <c r="A39" s="136" t="s">
        <v>40</v>
      </c>
      <c r="B39" s="137">
        <f>HLOOKUP(SUBSTITUTE(CONCATENATE(SUBSTITUTE(SUBSTITUTE(A39,"歳","")," ",""),"_男")," ",""),[12]データ貼り付けシート!$1:$2,2,FALSE)</f>
        <v>557</v>
      </c>
      <c r="C39" s="137">
        <f>HLOOKUP(SUBSTITUTE(CONCATENATE(SUBSTITUTE(SUBSTITUTE(A39,"歳","")," ",""),"_女")," ",""),[12]データ貼り付けシート!$1:$2,2,FALSE)</f>
        <v>538</v>
      </c>
      <c r="D39" s="137">
        <f>HLOOKUP(SUBSTITUTE(CONCATENATE(SUBSTITUTE(SUBSTITUTE(A39,"歳","")," ",""),"_全体")," ",""),[12]データ貼り付けシート!$1:$2,2,FALSE)</f>
        <v>1095</v>
      </c>
      <c r="E39" s="135"/>
    </row>
    <row r="40" spans="1:5" x14ac:dyDescent="0.4">
      <c r="A40" s="136" t="s">
        <v>41</v>
      </c>
      <c r="B40" s="137">
        <f>HLOOKUP(SUBSTITUTE(CONCATENATE(SUBSTITUTE(SUBSTITUTE(A40,"歳","")," ",""),"_男")," ",""),[12]データ貼り付けシート!$1:$2,2,FALSE)</f>
        <v>591</v>
      </c>
      <c r="C40" s="137">
        <f>HLOOKUP(SUBSTITUTE(CONCATENATE(SUBSTITUTE(SUBSTITUTE(A40,"歳","")," ",""),"_女")," ",""),[12]データ貼り付けシート!$1:$2,2,FALSE)</f>
        <v>575</v>
      </c>
      <c r="D40" s="137">
        <f>HLOOKUP(SUBSTITUTE(CONCATENATE(SUBSTITUTE(SUBSTITUTE(A40,"歳","")," ",""),"_全体")," ",""),[12]データ貼り付けシート!$1:$2,2,FALSE)</f>
        <v>1166</v>
      </c>
      <c r="E40" s="135"/>
    </row>
    <row r="41" spans="1:5" x14ac:dyDescent="0.4">
      <c r="A41" s="136" t="s">
        <v>42</v>
      </c>
      <c r="B41" s="137">
        <f>HLOOKUP(SUBSTITUTE(CONCATENATE(SUBSTITUTE(SUBSTITUTE(A41,"歳","")," ",""),"_男")," ",""),[12]データ貼り付けシート!$1:$2,2,FALSE)</f>
        <v>564</v>
      </c>
      <c r="C41" s="137">
        <f>HLOOKUP(SUBSTITUTE(CONCATENATE(SUBSTITUTE(SUBSTITUTE(A41,"歳","")," ",""),"_女")," ",""),[12]データ貼り付けシート!$1:$2,2,FALSE)</f>
        <v>549</v>
      </c>
      <c r="D41" s="137">
        <f>HLOOKUP(SUBSTITUTE(CONCATENATE(SUBSTITUTE(SUBSTITUTE(A41,"歳","")," ",""),"_全体")," ",""),[12]データ貼り付けシート!$1:$2,2,FALSE)</f>
        <v>1113</v>
      </c>
      <c r="E41" s="135"/>
    </row>
    <row r="42" spans="1:5" x14ac:dyDescent="0.4">
      <c r="A42" s="136" t="s">
        <v>43</v>
      </c>
      <c r="B42" s="137">
        <f>HLOOKUP(SUBSTITUTE(CONCATENATE(SUBSTITUTE(SUBSTITUTE(A42,"歳","")," ",""),"_男")," ",""),[12]データ貼り付けシート!$1:$2,2,FALSE)</f>
        <v>591</v>
      </c>
      <c r="C42" s="137">
        <f>HLOOKUP(SUBSTITUTE(CONCATENATE(SUBSTITUTE(SUBSTITUTE(A42,"歳","")," ",""),"_女")," ",""),[12]データ貼り付けシート!$1:$2,2,FALSE)</f>
        <v>541</v>
      </c>
      <c r="D42" s="137">
        <f>HLOOKUP(SUBSTITUTE(CONCATENATE(SUBSTITUTE(SUBSTITUTE(A42,"歳","")," ",""),"_全体")," ",""),[12]データ貼り付けシート!$1:$2,2,FALSE)</f>
        <v>1132</v>
      </c>
      <c r="E42" s="135"/>
    </row>
    <row r="43" spans="1:5" x14ac:dyDescent="0.4">
      <c r="A43" s="136" t="s">
        <v>44</v>
      </c>
      <c r="B43" s="137">
        <f>HLOOKUP(SUBSTITUTE(CONCATENATE(SUBSTITUTE(SUBSTITUTE(A43,"歳","")," ",""),"_男")," ",""),[12]データ貼り付けシート!$1:$2,2,FALSE)</f>
        <v>561</v>
      </c>
      <c r="C43" s="137">
        <f>HLOOKUP(SUBSTITUTE(CONCATENATE(SUBSTITUTE(SUBSTITUTE(A43,"歳","")," ",""),"_女")," ",""),[12]データ貼り付けシート!$1:$2,2,FALSE)</f>
        <v>558</v>
      </c>
      <c r="D43" s="137">
        <f>HLOOKUP(SUBSTITUTE(CONCATENATE(SUBSTITUTE(SUBSTITUTE(A43,"歳","")," ",""),"_全体")," ",""),[12]データ貼り付けシート!$1:$2,2,FALSE)</f>
        <v>1119</v>
      </c>
      <c r="E43" s="135"/>
    </row>
    <row r="44" spans="1:5" x14ac:dyDescent="0.4">
      <c r="A44" s="136" t="s">
        <v>45</v>
      </c>
      <c r="B44" s="137">
        <f>HLOOKUP(SUBSTITUTE(CONCATENATE(SUBSTITUTE(SUBSTITUTE(A44,"歳","")," ",""),"_男")," ",""),[12]データ貼り付けシート!$1:$2,2,FALSE)</f>
        <v>598</v>
      </c>
      <c r="C44" s="137">
        <f>HLOOKUP(SUBSTITUTE(CONCATENATE(SUBSTITUTE(SUBSTITUTE(A44,"歳","")," ",""),"_女")," ",""),[12]データ貼り付けシート!$1:$2,2,FALSE)</f>
        <v>567</v>
      </c>
      <c r="D44" s="137">
        <f>HLOOKUP(SUBSTITUTE(CONCATENATE(SUBSTITUTE(SUBSTITUTE(A44,"歳","")," ",""),"_全体")," ",""),[12]データ貼り付けシート!$1:$2,2,FALSE)</f>
        <v>1165</v>
      </c>
      <c r="E44" s="135"/>
    </row>
    <row r="45" spans="1:5" x14ac:dyDescent="0.4">
      <c r="A45" s="136" t="s">
        <v>46</v>
      </c>
      <c r="B45" s="137">
        <f>HLOOKUP(SUBSTITUTE(CONCATENATE(SUBSTITUTE(SUBSTITUTE(A45,"歳","")," ",""),"_男")," ",""),[12]データ貼り付けシート!$1:$2,2,FALSE)</f>
        <v>635</v>
      </c>
      <c r="C45" s="137">
        <f>HLOOKUP(SUBSTITUTE(CONCATENATE(SUBSTITUTE(SUBSTITUTE(A45,"歳","")," ",""),"_女")," ",""),[12]データ貼り付けシート!$1:$2,2,FALSE)</f>
        <v>590</v>
      </c>
      <c r="D45" s="137">
        <f>HLOOKUP(SUBSTITUTE(CONCATENATE(SUBSTITUTE(SUBSTITUTE(A45,"歳","")," ",""),"_全体")," ",""),[12]データ貼り付けシート!$1:$2,2,FALSE)</f>
        <v>1225</v>
      </c>
      <c r="E45" s="135"/>
    </row>
    <row r="46" spans="1:5" x14ac:dyDescent="0.4">
      <c r="A46" s="136" t="s">
        <v>47</v>
      </c>
      <c r="B46" s="137">
        <f>HLOOKUP(SUBSTITUTE(CONCATENATE(SUBSTITUTE(SUBSTITUTE(A46,"歳","")," ",""),"_男")," ",""),[12]データ貼り付けシート!$1:$2,2,FALSE)</f>
        <v>679</v>
      </c>
      <c r="C46" s="137">
        <f>HLOOKUP(SUBSTITUTE(CONCATENATE(SUBSTITUTE(SUBSTITUTE(A46,"歳","")," ",""),"_女")," ",""),[12]データ貼り付けシート!$1:$2,2,FALSE)</f>
        <v>618</v>
      </c>
      <c r="D46" s="137">
        <f>HLOOKUP(SUBSTITUTE(CONCATENATE(SUBSTITUTE(SUBSTITUTE(A46,"歳","")," ",""),"_全体")," ",""),[12]データ貼り付けシート!$1:$2,2,FALSE)</f>
        <v>1297</v>
      </c>
      <c r="E46" s="135"/>
    </row>
    <row r="47" spans="1:5" x14ac:dyDescent="0.4">
      <c r="A47" s="136" t="s">
        <v>48</v>
      </c>
      <c r="B47" s="137">
        <f>HLOOKUP(SUBSTITUTE(CONCATENATE(SUBSTITUTE(SUBSTITUTE(A47,"歳","")," ",""),"_男")," ",""),[12]データ貼り付けシート!$1:$2,2,FALSE)</f>
        <v>707</v>
      </c>
      <c r="C47" s="137">
        <f>HLOOKUP(SUBSTITUTE(CONCATENATE(SUBSTITUTE(SUBSTITUTE(A47,"歳","")," ",""),"_女")," ",""),[12]データ貼り付けシート!$1:$2,2,FALSE)</f>
        <v>663</v>
      </c>
      <c r="D47" s="137">
        <f>HLOOKUP(SUBSTITUTE(CONCATENATE(SUBSTITUTE(SUBSTITUTE(A47,"歳","")," ",""),"_全体")," ",""),[12]データ貼り付けシート!$1:$2,2,FALSE)</f>
        <v>1370</v>
      </c>
      <c r="E47" s="135"/>
    </row>
    <row r="48" spans="1:5" x14ac:dyDescent="0.4">
      <c r="A48" s="136" t="s">
        <v>49</v>
      </c>
      <c r="B48" s="137">
        <f>HLOOKUP(SUBSTITUTE(CONCATENATE(SUBSTITUTE(SUBSTITUTE(A48,"歳","")," ",""),"_男")," ",""),[12]データ貼り付けシート!$1:$2,2,FALSE)</f>
        <v>778</v>
      </c>
      <c r="C48" s="137">
        <f>HLOOKUP(SUBSTITUTE(CONCATENATE(SUBSTITUTE(SUBSTITUTE(A48,"歳","")," ",""),"_女")," ",""),[12]データ貼り付けシート!$1:$2,2,FALSE)</f>
        <v>700</v>
      </c>
      <c r="D48" s="137">
        <f>HLOOKUP(SUBSTITUTE(CONCATENATE(SUBSTITUTE(SUBSTITUTE(A48,"歳","")," ",""),"_全体")," ",""),[12]データ貼り付けシート!$1:$2,2,FALSE)</f>
        <v>1478</v>
      </c>
      <c r="E48" s="135"/>
    </row>
    <row r="49" spans="1:5" x14ac:dyDescent="0.4">
      <c r="A49" s="136" t="s">
        <v>50</v>
      </c>
      <c r="B49" s="137">
        <f>HLOOKUP(SUBSTITUTE(CONCATENATE(SUBSTITUTE(SUBSTITUTE(A49,"歳","")," ",""),"_男")," ",""),[12]データ貼り付けシート!$1:$2,2,FALSE)</f>
        <v>892</v>
      </c>
      <c r="C49" s="137">
        <f>HLOOKUP(SUBSTITUTE(CONCATENATE(SUBSTITUTE(SUBSTITUTE(A49,"歳","")," ",""),"_女")," ",""),[12]データ貼り付けシート!$1:$2,2,FALSE)</f>
        <v>758</v>
      </c>
      <c r="D49" s="137">
        <f>HLOOKUP(SUBSTITUTE(CONCATENATE(SUBSTITUTE(SUBSTITUTE(A49,"歳","")," ",""),"_全体")," ",""),[12]データ貼り付けシート!$1:$2,2,FALSE)</f>
        <v>1650</v>
      </c>
      <c r="E49" s="135"/>
    </row>
    <row r="50" spans="1:5" x14ac:dyDescent="0.4">
      <c r="A50" s="136" t="s">
        <v>51</v>
      </c>
      <c r="B50" s="137">
        <f>HLOOKUP(SUBSTITUTE(CONCATENATE(SUBSTITUTE(SUBSTITUTE(A50,"歳","")," ",""),"_男")," ",""),[12]データ貼り付けシート!$1:$2,2,FALSE)</f>
        <v>824</v>
      </c>
      <c r="C50" s="137">
        <f>HLOOKUP(SUBSTITUTE(CONCATENATE(SUBSTITUTE(SUBSTITUTE(A50,"歳","")," ",""),"_女")," ",""),[12]データ貼り付けシート!$1:$2,2,FALSE)</f>
        <v>770</v>
      </c>
      <c r="D50" s="137">
        <f>HLOOKUP(SUBSTITUTE(CONCATENATE(SUBSTITUTE(SUBSTITUTE(A50,"歳","")," ",""),"_全体")," ",""),[12]データ貼り付けシート!$1:$2,2,FALSE)</f>
        <v>1594</v>
      </c>
      <c r="E50" s="135"/>
    </row>
    <row r="51" spans="1:5" x14ac:dyDescent="0.4">
      <c r="A51" s="136" t="s">
        <v>52</v>
      </c>
      <c r="B51" s="137">
        <f>HLOOKUP(SUBSTITUTE(CONCATENATE(SUBSTITUTE(SUBSTITUTE(A51,"歳","")," ",""),"_男")," ",""),[12]データ貼り付けシート!$1:$2,2,FALSE)</f>
        <v>800</v>
      </c>
      <c r="C51" s="137">
        <f>HLOOKUP(SUBSTITUTE(CONCATENATE(SUBSTITUTE(SUBSTITUTE(A51,"歳","")," ",""),"_女")," ",""),[12]データ貼り付けシート!$1:$2,2,FALSE)</f>
        <v>727</v>
      </c>
      <c r="D51" s="137">
        <f>HLOOKUP(SUBSTITUTE(CONCATENATE(SUBSTITUTE(SUBSTITUTE(A51,"歳","")," ",""),"_全体")," ",""),[12]データ貼り付けシート!$1:$2,2,FALSE)</f>
        <v>1527</v>
      </c>
      <c r="E51" s="135"/>
    </row>
    <row r="52" spans="1:5" x14ac:dyDescent="0.4">
      <c r="A52" s="136" t="s">
        <v>53</v>
      </c>
      <c r="B52" s="137">
        <f>HLOOKUP(SUBSTITUTE(CONCATENATE(SUBSTITUTE(SUBSTITUTE(A52,"歳","")," ",""),"_男")," ",""),[12]データ貼り付けシート!$1:$2,2,FALSE)</f>
        <v>737</v>
      </c>
      <c r="C52" s="137">
        <f>HLOOKUP(SUBSTITUTE(CONCATENATE(SUBSTITUTE(SUBSTITUTE(A52,"歳","")," ",""),"_女")," ",""),[12]データ貼り付けシート!$1:$2,2,FALSE)</f>
        <v>702</v>
      </c>
      <c r="D52" s="137">
        <f>HLOOKUP(SUBSTITUTE(CONCATENATE(SUBSTITUTE(SUBSTITUTE(A52,"歳","")," ",""),"_全体")," ",""),[12]データ貼り付けシート!$1:$2,2,FALSE)</f>
        <v>1439</v>
      </c>
      <c r="E52" s="135"/>
    </row>
    <row r="53" spans="1:5" x14ac:dyDescent="0.4">
      <c r="A53" s="136" t="s">
        <v>54</v>
      </c>
      <c r="B53" s="137">
        <f>HLOOKUP(SUBSTITUTE(CONCATENATE(SUBSTITUTE(SUBSTITUTE(A53,"歳","")," ",""),"_男")," ",""),[12]データ貼り付けシート!$1:$2,2,FALSE)</f>
        <v>749</v>
      </c>
      <c r="C53" s="137">
        <f>HLOOKUP(SUBSTITUTE(CONCATENATE(SUBSTITUTE(SUBSTITUTE(A53,"歳","")," ",""),"_女")," ",""),[12]データ貼り付けシート!$1:$2,2,FALSE)</f>
        <v>613</v>
      </c>
      <c r="D53" s="137">
        <f>HLOOKUP(SUBSTITUTE(CONCATENATE(SUBSTITUTE(SUBSTITUTE(A53,"歳","")," ",""),"_全体")," ",""),[12]データ貼り付けシート!$1:$2,2,FALSE)</f>
        <v>1362</v>
      </c>
      <c r="E53" s="135"/>
    </row>
    <row r="54" spans="1:5" x14ac:dyDescent="0.4">
      <c r="A54" s="136" t="s">
        <v>55</v>
      </c>
      <c r="B54" s="137">
        <f>HLOOKUP(SUBSTITUTE(CONCATENATE(SUBSTITUTE(SUBSTITUTE(A54,"歳","")," ",""),"_男")," ",""),[12]データ貼り付けシート!$1:$2,2,FALSE)</f>
        <v>658</v>
      </c>
      <c r="C54" s="137">
        <f>HLOOKUP(SUBSTITUTE(CONCATENATE(SUBSTITUTE(SUBSTITUTE(A54,"歳","")," ",""),"_女")," ",""),[12]データ貼り付けシート!$1:$2,2,FALSE)</f>
        <v>620</v>
      </c>
      <c r="D54" s="137">
        <f>HLOOKUP(SUBSTITUTE(CONCATENATE(SUBSTITUTE(SUBSTITUTE(A54,"歳","")," ",""),"_全体")," ",""),[12]データ貼り付けシート!$1:$2,2,FALSE)</f>
        <v>1278</v>
      </c>
      <c r="E54" s="135"/>
    </row>
    <row r="55" spans="1:5" x14ac:dyDescent="0.4">
      <c r="A55" s="136" t="s">
        <v>56</v>
      </c>
      <c r="B55" s="137">
        <f>HLOOKUP(SUBSTITUTE(CONCATENATE(SUBSTITUTE(SUBSTITUTE(A55,"歳","")," ",""),"_男")," ",""),[12]データ貼り付けシート!$1:$2,2,FALSE)</f>
        <v>717</v>
      </c>
      <c r="C55" s="137">
        <f>HLOOKUP(SUBSTITUTE(CONCATENATE(SUBSTITUTE(SUBSTITUTE(A55,"歳","")," ",""),"_女")," ",""),[12]データ貼り付けシート!$1:$2,2,FALSE)</f>
        <v>607</v>
      </c>
      <c r="D55" s="137">
        <f>HLOOKUP(SUBSTITUTE(CONCATENATE(SUBSTITUTE(SUBSTITUTE(A55,"歳","")," ",""),"_全体")," ",""),[12]データ貼り付けシート!$1:$2,2,FALSE)</f>
        <v>1324</v>
      </c>
      <c r="E55" s="135"/>
    </row>
    <row r="56" spans="1:5" x14ac:dyDescent="0.4">
      <c r="A56" s="136" t="s">
        <v>57</v>
      </c>
      <c r="B56" s="137">
        <f>HLOOKUP(SUBSTITUTE(CONCATENATE(SUBSTITUTE(SUBSTITUTE(A56,"歳","")," ",""),"_男")," ",""),[12]データ貼り付けシート!$1:$2,2,FALSE)</f>
        <v>486</v>
      </c>
      <c r="C56" s="137">
        <f>HLOOKUP(SUBSTITUTE(CONCATENATE(SUBSTITUTE(SUBSTITUTE(A56,"歳","")," ",""),"_女")," ",""),[12]データ貼り付けシート!$1:$2,2,FALSE)</f>
        <v>394</v>
      </c>
      <c r="D56" s="137">
        <f>HLOOKUP(SUBSTITUTE(CONCATENATE(SUBSTITUTE(SUBSTITUTE(A56,"歳","")," ",""),"_全体")," ",""),[12]データ貼り付けシート!$1:$2,2,FALSE)</f>
        <v>880</v>
      </c>
      <c r="E56" s="135"/>
    </row>
    <row r="57" spans="1:5" x14ac:dyDescent="0.4">
      <c r="A57" s="136" t="s">
        <v>58</v>
      </c>
      <c r="B57" s="137">
        <f>HLOOKUP(SUBSTITUTE(CONCATENATE(SUBSTITUTE(SUBSTITUTE(A57,"歳","")," ",""),"_男")," ",""),[12]データ貼り付けシート!$1:$2,2,FALSE)</f>
        <v>582</v>
      </c>
      <c r="C57" s="137">
        <f>HLOOKUP(SUBSTITUTE(CONCATENATE(SUBSTITUTE(SUBSTITUTE(A57,"歳","")," ",""),"_女")," ",""),[12]データ貼り付けシート!$1:$2,2,FALSE)</f>
        <v>547</v>
      </c>
      <c r="D57" s="137">
        <f>HLOOKUP(SUBSTITUTE(CONCATENATE(SUBSTITUTE(SUBSTITUTE(A57,"歳","")," ",""),"_全体")," ",""),[12]データ貼り付けシート!$1:$2,2,FALSE)</f>
        <v>1129</v>
      </c>
      <c r="E57" s="135"/>
    </row>
    <row r="58" spans="1:5" x14ac:dyDescent="0.4">
      <c r="A58" s="136" t="s">
        <v>59</v>
      </c>
      <c r="B58" s="137">
        <f>HLOOKUP(SUBSTITUTE(CONCATENATE(SUBSTITUTE(SUBSTITUTE(A58,"歳","")," ",""),"_男")," ",""),[12]データ貼り付けシート!$1:$2,2,FALSE)</f>
        <v>517</v>
      </c>
      <c r="C58" s="137">
        <f>HLOOKUP(SUBSTITUTE(CONCATENATE(SUBSTITUTE(SUBSTITUTE(A58,"歳","")," ",""),"_女")," ",""),[12]データ貼り付けシート!$1:$2,2,FALSE)</f>
        <v>486</v>
      </c>
      <c r="D58" s="137">
        <f>HLOOKUP(SUBSTITUTE(CONCATENATE(SUBSTITUTE(SUBSTITUTE(A58,"歳","")," ",""),"_全体")," ",""),[12]データ貼り付けシート!$1:$2,2,FALSE)</f>
        <v>1003</v>
      </c>
      <c r="E58" s="135"/>
    </row>
    <row r="59" spans="1:5" x14ac:dyDescent="0.4">
      <c r="A59" s="136" t="s">
        <v>60</v>
      </c>
      <c r="B59" s="137">
        <f>HLOOKUP(SUBSTITUTE(CONCATENATE(SUBSTITUTE(SUBSTITUTE(A59,"歳","")," ",""),"_男")," ",""),[12]データ貼り付けシート!$1:$2,2,FALSE)</f>
        <v>482</v>
      </c>
      <c r="C59" s="137">
        <f>HLOOKUP(SUBSTITUTE(CONCATENATE(SUBSTITUTE(SUBSTITUTE(A59,"歳","")," ",""),"_女")," ",""),[12]データ貼り付けシート!$1:$2,2,FALSE)</f>
        <v>465</v>
      </c>
      <c r="D59" s="137">
        <f>HLOOKUP(SUBSTITUTE(CONCATENATE(SUBSTITUTE(SUBSTITUTE(A59,"歳","")," ",""),"_全体")," ",""),[12]データ貼り付けシート!$1:$2,2,FALSE)</f>
        <v>947</v>
      </c>
      <c r="E59" s="135"/>
    </row>
    <row r="60" spans="1:5" x14ac:dyDescent="0.4">
      <c r="A60" s="136" t="s">
        <v>61</v>
      </c>
      <c r="B60" s="137">
        <f>HLOOKUP(SUBSTITUTE(CONCATENATE(SUBSTITUTE(SUBSTITUTE(A60,"歳","")," ",""),"_男")," ",""),[12]データ貼り付けシート!$1:$2,2,FALSE)</f>
        <v>481</v>
      </c>
      <c r="C60" s="137">
        <f>HLOOKUP(SUBSTITUTE(CONCATENATE(SUBSTITUTE(SUBSTITUTE(A60,"歳","")," ",""),"_女")," ",""),[12]データ貼り付けシート!$1:$2,2,FALSE)</f>
        <v>428</v>
      </c>
      <c r="D60" s="137">
        <f>HLOOKUP(SUBSTITUTE(CONCATENATE(SUBSTITUTE(SUBSTITUTE(A60,"歳","")," ",""),"_全体")," ",""),[12]データ貼り付けシート!$1:$2,2,FALSE)</f>
        <v>909</v>
      </c>
      <c r="E60" s="135"/>
    </row>
    <row r="61" spans="1:5" x14ac:dyDescent="0.4">
      <c r="A61" s="136" t="s">
        <v>62</v>
      </c>
      <c r="B61" s="137">
        <f>HLOOKUP(SUBSTITUTE(CONCATENATE(SUBSTITUTE(SUBSTITUTE(A61,"歳","")," ",""),"_男")," ",""),[12]データ貼り付けシート!$1:$2,2,FALSE)</f>
        <v>446</v>
      </c>
      <c r="C61" s="137">
        <f>HLOOKUP(SUBSTITUTE(CONCATENATE(SUBSTITUTE(SUBSTITUTE(A61,"歳","")," ",""),"_女")," ",""),[12]データ貼り付けシート!$1:$2,2,FALSE)</f>
        <v>422</v>
      </c>
      <c r="D61" s="137">
        <f>HLOOKUP(SUBSTITUTE(CONCATENATE(SUBSTITUTE(SUBSTITUTE(A61,"歳","")," ",""),"_全体")," ",""),[12]データ貼り付けシート!$1:$2,2,FALSE)</f>
        <v>868</v>
      </c>
      <c r="E61" s="135"/>
    </row>
    <row r="62" spans="1:5" x14ac:dyDescent="0.4">
      <c r="A62" s="136" t="s">
        <v>63</v>
      </c>
      <c r="B62" s="137">
        <f>HLOOKUP(SUBSTITUTE(CONCATENATE(SUBSTITUTE(SUBSTITUTE(A62,"歳","")," ",""),"_男")," ",""),[12]データ貼り付けシート!$1:$2,2,FALSE)</f>
        <v>423</v>
      </c>
      <c r="C62" s="137">
        <f>HLOOKUP(SUBSTITUTE(CONCATENATE(SUBSTITUTE(SUBSTITUTE(A62,"歳","")," ",""),"_女")," ",""),[12]データ貼り付けシート!$1:$2,2,FALSE)</f>
        <v>391</v>
      </c>
      <c r="D62" s="137">
        <f>HLOOKUP(SUBSTITUTE(CONCATENATE(SUBSTITUTE(SUBSTITUTE(A62,"歳","")," ",""),"_全体")," ",""),[12]データ貼り付けシート!$1:$2,2,FALSE)</f>
        <v>814</v>
      </c>
      <c r="E62" s="135"/>
    </row>
    <row r="63" spans="1:5" x14ac:dyDescent="0.4">
      <c r="A63" s="136" t="s">
        <v>64</v>
      </c>
      <c r="B63" s="137">
        <f>HLOOKUP(SUBSTITUTE(CONCATENATE(SUBSTITUTE(SUBSTITUTE(A63,"歳","")," ",""),"_男")," ",""),[12]データ貼り付けシート!$1:$2,2,FALSE)</f>
        <v>401</v>
      </c>
      <c r="C63" s="137">
        <f>HLOOKUP(SUBSTITUTE(CONCATENATE(SUBSTITUTE(SUBSTITUTE(A63,"歳","")," ",""),"_女")," ",""),[12]データ貼り付けシート!$1:$2,2,FALSE)</f>
        <v>395</v>
      </c>
      <c r="D63" s="137">
        <f>HLOOKUP(SUBSTITUTE(CONCATENATE(SUBSTITUTE(SUBSTITUTE(A63,"歳","")," ",""),"_全体")," ",""),[12]データ貼り付けシート!$1:$2,2,FALSE)</f>
        <v>796</v>
      </c>
      <c r="E63" s="135"/>
    </row>
    <row r="64" spans="1:5" x14ac:dyDescent="0.4">
      <c r="A64" s="136" t="s">
        <v>65</v>
      </c>
      <c r="B64" s="137">
        <f>HLOOKUP(SUBSTITUTE(CONCATENATE(SUBSTITUTE(SUBSTITUTE(A64,"歳","")," ",""),"_男")," ",""),[12]データ貼り付けシート!$1:$2,2,FALSE)</f>
        <v>460</v>
      </c>
      <c r="C64" s="137">
        <f>HLOOKUP(SUBSTITUTE(CONCATENATE(SUBSTITUTE(SUBSTITUTE(A64,"歳","")," ",""),"_女")," ",""),[12]データ貼り付けシート!$1:$2,2,FALSE)</f>
        <v>431</v>
      </c>
      <c r="D64" s="137">
        <f>HLOOKUP(SUBSTITUTE(CONCATENATE(SUBSTITUTE(SUBSTITUTE(A64,"歳","")," ",""),"_全体")," ",""),[12]データ貼り付けシート!$1:$2,2,FALSE)</f>
        <v>891</v>
      </c>
      <c r="E64" s="135"/>
    </row>
    <row r="65" spans="1:5" x14ac:dyDescent="0.4">
      <c r="A65" s="136" t="s">
        <v>66</v>
      </c>
      <c r="B65" s="137">
        <f>HLOOKUP(SUBSTITUTE(CONCATENATE(SUBSTITUTE(SUBSTITUTE(A65,"歳","")," ",""),"_男")," ",""),[12]データ貼り付けシート!$1:$2,2,FALSE)</f>
        <v>390</v>
      </c>
      <c r="C65" s="137">
        <f>HLOOKUP(SUBSTITUTE(CONCATENATE(SUBSTITUTE(SUBSTITUTE(A65,"歳","")," ",""),"_女")," ",""),[12]データ貼り付けシート!$1:$2,2,FALSE)</f>
        <v>394</v>
      </c>
      <c r="D65" s="137">
        <f>HLOOKUP(SUBSTITUTE(CONCATENATE(SUBSTITUTE(SUBSTITUTE(A65,"歳","")," ",""),"_全体")," ",""),[12]データ貼り付けシート!$1:$2,2,FALSE)</f>
        <v>784</v>
      </c>
      <c r="E65" s="135"/>
    </row>
    <row r="66" spans="1:5" x14ac:dyDescent="0.4">
      <c r="A66" s="136" t="s">
        <v>67</v>
      </c>
      <c r="B66" s="137">
        <f>HLOOKUP(SUBSTITUTE(CONCATENATE(SUBSTITUTE(SUBSTITUTE(A66,"歳","")," ",""),"_男")," ",""),[12]データ貼り付けシート!$1:$2,2,FALSE)</f>
        <v>404</v>
      </c>
      <c r="C66" s="137">
        <f>HLOOKUP(SUBSTITUTE(CONCATENATE(SUBSTITUTE(SUBSTITUTE(A66,"歳","")," ",""),"_女")," ",""),[12]データ貼り付けシート!$1:$2,2,FALSE)</f>
        <v>394</v>
      </c>
      <c r="D66" s="137">
        <f>HLOOKUP(SUBSTITUTE(CONCATENATE(SUBSTITUTE(SUBSTITUTE(A66,"歳","")," ",""),"_全体")," ",""),[12]データ貼り付けシート!$1:$2,2,FALSE)</f>
        <v>798</v>
      </c>
      <c r="E66" s="135"/>
    </row>
    <row r="67" spans="1:5" x14ac:dyDescent="0.4">
      <c r="A67" s="136" t="s">
        <v>68</v>
      </c>
      <c r="B67" s="137">
        <f>HLOOKUP(SUBSTITUTE(CONCATENATE(SUBSTITUTE(SUBSTITUTE(A67,"歳","")," ",""),"_男")," ",""),[12]データ貼り付けシート!$1:$2,2,FALSE)</f>
        <v>426</v>
      </c>
      <c r="C67" s="137">
        <f>HLOOKUP(SUBSTITUTE(CONCATENATE(SUBSTITUTE(SUBSTITUTE(A67,"歳","")," ",""),"_女")," ",""),[12]データ貼り付けシート!$1:$2,2,FALSE)</f>
        <v>438</v>
      </c>
      <c r="D67" s="137">
        <f>HLOOKUP(SUBSTITUTE(CONCATENATE(SUBSTITUTE(SUBSTITUTE(A67,"歳","")," ",""),"_全体")," ",""),[12]データ貼り付けシート!$1:$2,2,FALSE)</f>
        <v>864</v>
      </c>
      <c r="E67" s="135"/>
    </row>
    <row r="68" spans="1:5" x14ac:dyDescent="0.4">
      <c r="A68" s="136" t="s">
        <v>69</v>
      </c>
      <c r="B68" s="137">
        <f>HLOOKUP(SUBSTITUTE(CONCATENATE(SUBSTITUTE(SUBSTITUTE(A68,"歳","")," ",""),"_男")," ",""),[12]データ貼り付けシート!$1:$2,2,FALSE)</f>
        <v>409</v>
      </c>
      <c r="C68" s="137">
        <f>HLOOKUP(SUBSTITUTE(CONCATENATE(SUBSTITUTE(SUBSTITUTE(A68,"歳","")," ",""),"_女")," ",""),[12]データ貼り付けシート!$1:$2,2,FALSE)</f>
        <v>454</v>
      </c>
      <c r="D68" s="137">
        <f>HLOOKUP(SUBSTITUTE(CONCATENATE(SUBSTITUTE(SUBSTITUTE(A68,"歳","")," ",""),"_全体")," ",""),[12]データ貼り付けシート!$1:$2,2,FALSE)</f>
        <v>863</v>
      </c>
      <c r="E68" s="135"/>
    </row>
    <row r="69" spans="1:5" x14ac:dyDescent="0.4">
      <c r="A69" s="136" t="s">
        <v>70</v>
      </c>
      <c r="B69" s="137">
        <f>HLOOKUP(SUBSTITUTE(CONCATENATE(SUBSTITUTE(SUBSTITUTE(A69,"歳","")," ",""),"_男")," ",""),[12]データ貼り付けシート!$1:$2,2,FALSE)</f>
        <v>415</v>
      </c>
      <c r="C69" s="137">
        <f>HLOOKUP(SUBSTITUTE(CONCATENATE(SUBSTITUTE(SUBSTITUTE(A69,"歳","")," ",""),"_女")," ",""),[12]データ貼り付けシート!$1:$2,2,FALSE)</f>
        <v>489</v>
      </c>
      <c r="D69" s="137">
        <f>HLOOKUP(SUBSTITUTE(CONCATENATE(SUBSTITUTE(SUBSTITUTE(A69,"歳","")," ",""),"_全体")," ",""),[12]データ貼り付けシート!$1:$2,2,FALSE)</f>
        <v>904</v>
      </c>
      <c r="E69" s="135"/>
    </row>
    <row r="70" spans="1:5" x14ac:dyDescent="0.4">
      <c r="A70" s="136" t="s">
        <v>71</v>
      </c>
      <c r="B70" s="137">
        <f>HLOOKUP(SUBSTITUTE(CONCATENATE(SUBSTITUTE(SUBSTITUTE(A70,"歳","")," ",""),"_男")," ",""),[12]データ貼り付けシート!$1:$2,2,FALSE)</f>
        <v>486</v>
      </c>
      <c r="C70" s="137">
        <f>HLOOKUP(SUBSTITUTE(CONCATENATE(SUBSTITUTE(SUBSTITUTE(A70,"歳","")," ",""),"_女")," ",""),[12]データ貼り付けシート!$1:$2,2,FALSE)</f>
        <v>518</v>
      </c>
      <c r="D70" s="137">
        <f>HLOOKUP(SUBSTITUTE(CONCATENATE(SUBSTITUTE(SUBSTITUTE(A70,"歳","")," ",""),"_全体")," ",""),[12]データ貼り付けシート!$1:$2,2,FALSE)</f>
        <v>1004</v>
      </c>
      <c r="E70" s="135"/>
    </row>
    <row r="71" spans="1:5" x14ac:dyDescent="0.4">
      <c r="A71" s="136" t="s">
        <v>72</v>
      </c>
      <c r="B71" s="137">
        <f>HLOOKUP(SUBSTITUTE(CONCATENATE(SUBSTITUTE(SUBSTITUTE(A71,"歳","")," ",""),"_男")," ",""),[12]データ貼り付けシート!$1:$2,2,FALSE)</f>
        <v>518</v>
      </c>
      <c r="C71" s="137">
        <f>HLOOKUP(SUBSTITUTE(CONCATENATE(SUBSTITUTE(SUBSTITUTE(A71,"歳","")," ",""),"_女")," ",""),[12]データ貼り付けシート!$1:$2,2,FALSE)</f>
        <v>583</v>
      </c>
      <c r="D71" s="137">
        <f>HLOOKUP(SUBSTITUTE(CONCATENATE(SUBSTITUTE(SUBSTITUTE(A71,"歳","")," ",""),"_全体")," ",""),[12]データ貼り付けシート!$1:$2,2,FALSE)</f>
        <v>1101</v>
      </c>
      <c r="E71" s="135"/>
    </row>
    <row r="72" spans="1:5" x14ac:dyDescent="0.4">
      <c r="A72" s="136" t="s">
        <v>73</v>
      </c>
      <c r="B72" s="137">
        <f>HLOOKUP(SUBSTITUTE(CONCATENATE(SUBSTITUTE(SUBSTITUTE(A72,"歳","")," ",""),"_男")," ",""),[12]データ貼り付けシート!$1:$2,2,FALSE)</f>
        <v>558</v>
      </c>
      <c r="C72" s="137">
        <f>HLOOKUP(SUBSTITUTE(CONCATENATE(SUBSTITUTE(SUBSTITUTE(A72,"歳","")," ",""),"_女")," ",""),[12]データ貼り付けシート!$1:$2,2,FALSE)</f>
        <v>630</v>
      </c>
      <c r="D72" s="137">
        <f>HLOOKUP(SUBSTITUTE(CONCATENATE(SUBSTITUTE(SUBSTITUTE(A72,"歳","")," ",""),"_全体")," ",""),[12]データ貼り付けシート!$1:$2,2,FALSE)</f>
        <v>1188</v>
      </c>
      <c r="E72" s="135"/>
    </row>
    <row r="73" spans="1:5" x14ac:dyDescent="0.4">
      <c r="A73" s="136" t="s">
        <v>74</v>
      </c>
      <c r="B73" s="137">
        <f>HLOOKUP(SUBSTITUTE(CONCATENATE(SUBSTITUTE(SUBSTITUTE(A73,"歳","")," ",""),"_男")," ",""),[12]データ貼り付けシート!$1:$2,2,FALSE)</f>
        <v>659</v>
      </c>
      <c r="C73" s="137">
        <f>HLOOKUP(SUBSTITUTE(CONCATENATE(SUBSTITUTE(SUBSTITUTE(A73,"歳","")," ",""),"_女")," ",""),[12]データ貼り付けシート!$1:$2,2,FALSE)</f>
        <v>758</v>
      </c>
      <c r="D73" s="137">
        <f>HLOOKUP(SUBSTITUTE(CONCATENATE(SUBSTITUTE(SUBSTITUTE(A73,"歳","")," ",""),"_全体")," ",""),[12]データ貼り付けシート!$1:$2,2,FALSE)</f>
        <v>1417</v>
      </c>
      <c r="E73" s="135"/>
    </row>
    <row r="74" spans="1:5" x14ac:dyDescent="0.4">
      <c r="A74" s="136" t="s">
        <v>75</v>
      </c>
      <c r="B74" s="137">
        <f>HLOOKUP(SUBSTITUTE(CONCATENATE(SUBSTITUTE(SUBSTITUTE(A74,"歳","")," ",""),"_男")," ",""),[12]データ貼り付けシート!$1:$2,2,FALSE)</f>
        <v>662</v>
      </c>
      <c r="C74" s="137">
        <f>HLOOKUP(SUBSTITUTE(CONCATENATE(SUBSTITUTE(SUBSTITUTE(A74,"歳","")," ",""),"_女")," ",""),[12]データ貼り付けシート!$1:$2,2,FALSE)</f>
        <v>774</v>
      </c>
      <c r="D74" s="137">
        <f>HLOOKUP(SUBSTITUTE(CONCATENATE(SUBSTITUTE(SUBSTITUTE(A74,"歳","")," ",""),"_全体")," ",""),[12]データ貼り付けシート!$1:$2,2,FALSE)</f>
        <v>1436</v>
      </c>
      <c r="E74" s="135"/>
    </row>
    <row r="75" spans="1:5" x14ac:dyDescent="0.4">
      <c r="A75" s="136" t="s">
        <v>76</v>
      </c>
      <c r="B75" s="137">
        <f>HLOOKUP(SUBSTITUTE(CONCATENATE(SUBSTITUTE(SUBSTITUTE(A75,"歳","")," ",""),"_男")," ",""),[12]データ貼り付けシート!$1:$2,2,FALSE)</f>
        <v>657</v>
      </c>
      <c r="C75" s="137">
        <f>HLOOKUP(SUBSTITUTE(CONCATENATE(SUBSTITUTE(SUBSTITUTE(A75,"歳","")," ",""),"_女")," ",""),[12]データ貼り付けシート!$1:$2,2,FALSE)</f>
        <v>767</v>
      </c>
      <c r="D75" s="137">
        <f>HLOOKUP(SUBSTITUTE(CONCATENATE(SUBSTITUTE(SUBSTITUTE(A75,"歳","")," ",""),"_全体")," ",""),[12]データ貼り付けシート!$1:$2,2,FALSE)</f>
        <v>1424</v>
      </c>
      <c r="E75" s="135"/>
    </row>
    <row r="76" spans="1:5" x14ac:dyDescent="0.4">
      <c r="A76" s="136" t="s">
        <v>77</v>
      </c>
      <c r="B76" s="137">
        <f>HLOOKUP(SUBSTITUTE(CONCATENATE(SUBSTITUTE(SUBSTITUTE(A76,"歳","")," ",""),"_男")," ",""),[12]データ貼り付けシート!$1:$2,2,FALSE)</f>
        <v>423</v>
      </c>
      <c r="C76" s="137">
        <f>HLOOKUP(SUBSTITUTE(CONCATENATE(SUBSTITUTE(SUBSTITUTE(A76,"歳","")," ",""),"_女")," ",""),[12]データ貼り付けシート!$1:$2,2,FALSE)</f>
        <v>504</v>
      </c>
      <c r="D76" s="137">
        <f>HLOOKUP(SUBSTITUTE(CONCATENATE(SUBSTITUTE(SUBSTITUTE(A76,"歳","")," ",""),"_全体")," ",""),[12]データ貼り付けシート!$1:$2,2,FALSE)</f>
        <v>927</v>
      </c>
      <c r="E76" s="135"/>
    </row>
    <row r="77" spans="1:5" x14ac:dyDescent="0.4">
      <c r="A77" s="136" t="s">
        <v>78</v>
      </c>
      <c r="B77" s="137">
        <f>HLOOKUP(SUBSTITUTE(CONCATENATE(SUBSTITUTE(SUBSTITUTE(A77,"歳","")," ",""),"_男")," ",""),[12]データ貼り付けシート!$1:$2,2,FALSE)</f>
        <v>383</v>
      </c>
      <c r="C77" s="137">
        <f>HLOOKUP(SUBSTITUTE(CONCATENATE(SUBSTITUTE(SUBSTITUTE(A77,"歳","")," ",""),"_女")," ",""),[12]データ貼り付けシート!$1:$2,2,FALSE)</f>
        <v>480</v>
      </c>
      <c r="D77" s="137">
        <f>HLOOKUP(SUBSTITUTE(CONCATENATE(SUBSTITUTE(SUBSTITUTE(A77,"歳","")," ",""),"_全体")," ",""),[12]データ貼り付けシート!$1:$2,2,FALSE)</f>
        <v>863</v>
      </c>
      <c r="E77" s="135"/>
    </row>
    <row r="78" spans="1:5" x14ac:dyDescent="0.4">
      <c r="A78" s="136" t="s">
        <v>79</v>
      </c>
      <c r="B78" s="137">
        <f>HLOOKUP(SUBSTITUTE(CONCATENATE(SUBSTITUTE(SUBSTITUTE(A78,"歳","")," ",""),"_男")," ",""),[12]データ貼り付けシート!$1:$2,2,FALSE)</f>
        <v>515</v>
      </c>
      <c r="C78" s="137">
        <f>HLOOKUP(SUBSTITUTE(CONCATENATE(SUBSTITUTE(SUBSTITUTE(A78,"歳","")," ",""),"_女")," ",""),[12]データ貼り付けシート!$1:$2,2,FALSE)</f>
        <v>587</v>
      </c>
      <c r="D78" s="137">
        <f>HLOOKUP(SUBSTITUTE(CONCATENATE(SUBSTITUTE(SUBSTITUTE(A78,"歳","")," ",""),"_全体")," ",""),[12]データ貼り付けシート!$1:$2,2,FALSE)</f>
        <v>1102</v>
      </c>
      <c r="E78" s="135"/>
    </row>
    <row r="79" spans="1:5" x14ac:dyDescent="0.4">
      <c r="A79" s="136" t="s">
        <v>80</v>
      </c>
      <c r="B79" s="137">
        <f>HLOOKUP(SUBSTITUTE(CONCATENATE(SUBSTITUTE(SUBSTITUTE(A79,"歳","")," ",""),"_男")," ",""),[12]データ貼り付けシート!$1:$2,2,FALSE)</f>
        <v>498</v>
      </c>
      <c r="C79" s="137">
        <f>HLOOKUP(SUBSTITUTE(CONCATENATE(SUBSTITUTE(SUBSTITUTE(A79,"歳","")," ",""),"_女")," ",""),[12]データ貼り付けシート!$1:$2,2,FALSE)</f>
        <v>644</v>
      </c>
      <c r="D79" s="137">
        <f>HLOOKUP(SUBSTITUTE(CONCATENATE(SUBSTITUTE(SUBSTITUTE(A79,"歳","")," ",""),"_全体")," ",""),[12]データ貼り付けシート!$1:$2,2,FALSE)</f>
        <v>1142</v>
      </c>
      <c r="E79" s="135"/>
    </row>
    <row r="80" spans="1:5" x14ac:dyDescent="0.4">
      <c r="A80" s="136" t="s">
        <v>81</v>
      </c>
      <c r="B80" s="137">
        <f>HLOOKUP(SUBSTITUTE(CONCATENATE(SUBSTITUTE(SUBSTITUTE(A80,"歳","")," ",""),"_男")," ",""),[12]データ貼り付けシート!$1:$2,2,FALSE)</f>
        <v>467</v>
      </c>
      <c r="C80" s="137">
        <f>HLOOKUP(SUBSTITUTE(CONCATENATE(SUBSTITUTE(SUBSTITUTE(A80,"歳","")," ",""),"_女")," ",""),[12]データ貼り付けシート!$1:$2,2,FALSE)</f>
        <v>610</v>
      </c>
      <c r="D80" s="137">
        <f>HLOOKUP(SUBSTITUTE(CONCATENATE(SUBSTITUTE(SUBSTITUTE(A80,"歳","")," ",""),"_全体")," ",""),[12]データ貼り付けシート!$1:$2,2,FALSE)</f>
        <v>1077</v>
      </c>
      <c r="E80" s="135"/>
    </row>
    <row r="81" spans="1:5" x14ac:dyDescent="0.4">
      <c r="A81" s="136" t="s">
        <v>82</v>
      </c>
      <c r="B81" s="137">
        <f>HLOOKUP(SUBSTITUTE(CONCATENATE(SUBSTITUTE(SUBSTITUTE(A81,"歳","")," ",""),"_男")," ",""),[12]データ貼り付けシート!$1:$2,2,FALSE)</f>
        <v>517</v>
      </c>
      <c r="C81" s="137">
        <f>HLOOKUP(SUBSTITUTE(CONCATENATE(SUBSTITUTE(SUBSTITUTE(A81,"歳","")," ",""),"_女")," ",""),[12]データ貼り付けシート!$1:$2,2,FALSE)</f>
        <v>594</v>
      </c>
      <c r="D81" s="137">
        <f>HLOOKUP(SUBSTITUTE(CONCATENATE(SUBSTITUTE(SUBSTITUTE(A81,"歳","")," ",""),"_全体")," ",""),[12]データ貼り付けシート!$1:$2,2,FALSE)</f>
        <v>1111</v>
      </c>
      <c r="E81" s="135"/>
    </row>
    <row r="82" spans="1:5" x14ac:dyDescent="0.4">
      <c r="A82" s="136" t="s">
        <v>83</v>
      </c>
      <c r="B82" s="137">
        <f>HLOOKUP(SUBSTITUTE(CONCATENATE(SUBSTITUTE(SUBSTITUTE(A82,"歳","")," ",""),"_男")," ",""),[12]データ貼り付けシート!$1:$2,2,FALSE)</f>
        <v>391</v>
      </c>
      <c r="C82" s="137">
        <f>HLOOKUP(SUBSTITUTE(CONCATENATE(SUBSTITUTE(SUBSTITUTE(A82,"歳","")," ",""),"_女")," ",""),[12]データ貼り付けシート!$1:$2,2,FALSE)</f>
        <v>523</v>
      </c>
      <c r="D82" s="137">
        <f>HLOOKUP(SUBSTITUTE(CONCATENATE(SUBSTITUTE(SUBSTITUTE(A82,"歳","")," ",""),"_全体")," ",""),[12]データ貼り付けシート!$1:$2,2,FALSE)</f>
        <v>914</v>
      </c>
      <c r="E82" s="135"/>
    </row>
    <row r="83" spans="1:5" x14ac:dyDescent="0.4">
      <c r="A83" s="136" t="s">
        <v>84</v>
      </c>
      <c r="B83" s="137">
        <f>HLOOKUP(SUBSTITUTE(CONCATENATE(SUBSTITUTE(SUBSTITUTE(A83,"歳","")," ",""),"_男")," ",""),[12]データ貼り付けシート!$1:$2,2,FALSE)</f>
        <v>365</v>
      </c>
      <c r="C83" s="137">
        <f>HLOOKUP(SUBSTITUTE(CONCATENATE(SUBSTITUTE(SUBSTITUTE(A83,"歳","")," ",""),"_女")," ",""),[12]データ貼り付けシート!$1:$2,2,FALSE)</f>
        <v>379</v>
      </c>
      <c r="D83" s="137">
        <f>HLOOKUP(SUBSTITUTE(CONCATENATE(SUBSTITUTE(SUBSTITUTE(A83,"歳","")," ",""),"_全体")," ",""),[12]データ貼り付けシート!$1:$2,2,FALSE)</f>
        <v>744</v>
      </c>
      <c r="E83" s="135"/>
    </row>
    <row r="84" spans="1:5" x14ac:dyDescent="0.4">
      <c r="A84" s="136" t="s">
        <v>85</v>
      </c>
      <c r="B84" s="137">
        <f>HLOOKUP(SUBSTITUTE(CONCATENATE(SUBSTITUTE(SUBSTITUTE(A84,"歳","")," ",""),"_男")," ",""),[12]データ貼り付けシート!$1:$2,2,FALSE)</f>
        <v>292</v>
      </c>
      <c r="C84" s="137">
        <f>HLOOKUP(SUBSTITUTE(CONCATENATE(SUBSTITUTE(SUBSTITUTE(A84,"歳","")," ",""),"_女")," ",""),[12]データ貼り付けシート!$1:$2,2,FALSE)</f>
        <v>378</v>
      </c>
      <c r="D84" s="137">
        <f>HLOOKUP(SUBSTITUTE(CONCATENATE(SUBSTITUTE(SUBSTITUTE(A84,"歳","")," ",""),"_全体")," ",""),[12]データ貼り付けシート!$1:$2,2,FALSE)</f>
        <v>670</v>
      </c>
      <c r="E84" s="135"/>
    </row>
    <row r="85" spans="1:5" x14ac:dyDescent="0.4">
      <c r="A85" s="136" t="s">
        <v>86</v>
      </c>
      <c r="B85" s="137">
        <f>HLOOKUP(SUBSTITUTE(CONCATENATE(SUBSTITUTE(SUBSTITUTE(A85,"歳","")," ",""),"_男")," ",""),[12]データ貼り付けシート!$1:$2,2,FALSE)</f>
        <v>315</v>
      </c>
      <c r="C85" s="137">
        <f>HLOOKUP(SUBSTITUTE(CONCATENATE(SUBSTITUTE(SUBSTITUTE(A85,"歳","")," ",""),"_女")," ",""),[12]データ貼り付けシート!$1:$2,2,FALSE)</f>
        <v>355</v>
      </c>
      <c r="D85" s="137">
        <f>HLOOKUP(SUBSTITUTE(CONCATENATE(SUBSTITUTE(SUBSTITUTE(A85,"歳","")," ",""),"_全体")," ",""),[12]データ貼り付けシート!$1:$2,2,FALSE)</f>
        <v>670</v>
      </c>
      <c r="E85" s="135"/>
    </row>
    <row r="86" spans="1:5" x14ac:dyDescent="0.4">
      <c r="A86" s="136" t="s">
        <v>87</v>
      </c>
      <c r="B86" s="137">
        <f>HLOOKUP(SUBSTITUTE(CONCATENATE(SUBSTITUTE(SUBSTITUTE(A86,"歳","")," ",""),"_男")," ",""),[12]データ貼り付けシート!$1:$2,2,FALSE)</f>
        <v>261</v>
      </c>
      <c r="C86" s="137">
        <f>HLOOKUP(SUBSTITUTE(CONCATENATE(SUBSTITUTE(SUBSTITUTE(A86,"歳","")," ",""),"_女")," ",""),[12]データ貼り付けシート!$1:$2,2,FALSE)</f>
        <v>325</v>
      </c>
      <c r="D86" s="137">
        <f>HLOOKUP(SUBSTITUTE(CONCATENATE(SUBSTITUTE(SUBSTITUTE(A86,"歳","")," ",""),"_全体")," ",""),[12]データ貼り付けシート!$1:$2,2,FALSE)</f>
        <v>586</v>
      </c>
      <c r="E86" s="135"/>
    </row>
    <row r="87" spans="1:5" x14ac:dyDescent="0.4">
      <c r="A87" s="136" t="s">
        <v>88</v>
      </c>
      <c r="B87" s="137">
        <f>HLOOKUP(SUBSTITUTE(CONCATENATE(SUBSTITUTE(SUBSTITUTE(A87,"歳","")," ",""),"_男")," ",""),[12]データ貼り付けシート!$1:$2,2,FALSE)</f>
        <v>234</v>
      </c>
      <c r="C87" s="137">
        <f>HLOOKUP(SUBSTITUTE(CONCATENATE(SUBSTITUTE(SUBSTITUTE(A87,"歳","")," ",""),"_女")," ",""),[12]データ貼り付けシート!$1:$2,2,FALSE)</f>
        <v>316</v>
      </c>
      <c r="D87" s="137">
        <f>HLOOKUP(SUBSTITUTE(CONCATENATE(SUBSTITUTE(SUBSTITUTE(A87,"歳","")," ",""),"_全体")," ",""),[12]データ貼り付けシート!$1:$2,2,FALSE)</f>
        <v>550</v>
      </c>
      <c r="E87" s="135"/>
    </row>
    <row r="88" spans="1:5" x14ac:dyDescent="0.4">
      <c r="A88" s="136" t="s">
        <v>89</v>
      </c>
      <c r="B88" s="137">
        <f>HLOOKUP(SUBSTITUTE(CONCATENATE(SUBSTITUTE(SUBSTITUTE(A88,"歳","")," ",""),"_男")," ",""),[12]データ貼り付けシート!$1:$2,2,FALSE)</f>
        <v>147</v>
      </c>
      <c r="C88" s="137">
        <f>HLOOKUP(SUBSTITUTE(CONCATENATE(SUBSTITUTE(SUBSTITUTE(A88,"歳","")," ",""),"_女")," ",""),[12]データ貼り付けシート!$1:$2,2,FALSE)</f>
        <v>249</v>
      </c>
      <c r="D88" s="137">
        <f>HLOOKUP(SUBSTITUTE(CONCATENATE(SUBSTITUTE(SUBSTITUTE(A88,"歳","")," ",""),"_全体")," ",""),[12]データ貼り付けシート!$1:$2,2,FALSE)</f>
        <v>396</v>
      </c>
      <c r="E88" s="135"/>
    </row>
    <row r="89" spans="1:5" x14ac:dyDescent="0.4">
      <c r="A89" s="136" t="s">
        <v>90</v>
      </c>
      <c r="B89" s="137">
        <f>HLOOKUP(SUBSTITUTE(CONCATENATE(SUBSTITUTE(SUBSTITUTE(A89,"歳","")," ",""),"_男")," ",""),[12]データ貼り付けシート!$1:$2,2,FALSE)</f>
        <v>128</v>
      </c>
      <c r="C89" s="137">
        <f>HLOOKUP(SUBSTITUTE(CONCATENATE(SUBSTITUTE(SUBSTITUTE(A89,"歳","")," ",""),"_女")," ",""),[12]データ貼り付けシート!$1:$2,2,FALSE)</f>
        <v>260</v>
      </c>
      <c r="D89" s="137">
        <f>HLOOKUP(SUBSTITUTE(CONCATENATE(SUBSTITUTE(SUBSTITUTE(A89,"歳","")," ",""),"_全体")," ",""),[12]データ貼り付けシート!$1:$2,2,FALSE)</f>
        <v>388</v>
      </c>
      <c r="E89" s="135"/>
    </row>
    <row r="90" spans="1:5" x14ac:dyDescent="0.4">
      <c r="A90" s="136" t="s">
        <v>91</v>
      </c>
      <c r="B90" s="137">
        <f>HLOOKUP(SUBSTITUTE(CONCATENATE(SUBSTITUTE(SUBSTITUTE(A90,"歳","")," ",""),"_男")," ",""),[12]データ貼り付けシート!$1:$2,2,FALSE)</f>
        <v>142</v>
      </c>
      <c r="C90" s="137">
        <f>HLOOKUP(SUBSTITUTE(CONCATENATE(SUBSTITUTE(SUBSTITUTE(A90,"歳","")," ",""),"_女")," ",""),[12]データ貼り付けシート!$1:$2,2,FALSE)</f>
        <v>202</v>
      </c>
      <c r="D90" s="137">
        <f>HLOOKUP(SUBSTITUTE(CONCATENATE(SUBSTITUTE(SUBSTITUTE(A90,"歳","")," ",""),"_全体")," ",""),[12]データ貼り付けシート!$1:$2,2,FALSE)</f>
        <v>344</v>
      </c>
      <c r="E90" s="135"/>
    </row>
    <row r="91" spans="1:5" x14ac:dyDescent="0.4">
      <c r="A91" s="136" t="s">
        <v>92</v>
      </c>
      <c r="B91" s="137">
        <f>HLOOKUP(SUBSTITUTE(CONCATENATE(SUBSTITUTE(SUBSTITUTE(A91,"歳","")," ",""),"_男")," ",""),[12]データ貼り付けシート!$1:$2,2,FALSE)</f>
        <v>87</v>
      </c>
      <c r="C91" s="137">
        <f>HLOOKUP(SUBSTITUTE(CONCATENATE(SUBSTITUTE(SUBSTITUTE(A91,"歳","")," ",""),"_女")," ",""),[12]データ貼り付けシート!$1:$2,2,FALSE)</f>
        <v>169</v>
      </c>
      <c r="D91" s="137">
        <f>HLOOKUP(SUBSTITUTE(CONCATENATE(SUBSTITUTE(SUBSTITUTE(A91,"歳","")," ",""),"_全体")," ",""),[12]データ貼り付けシート!$1:$2,2,FALSE)</f>
        <v>256</v>
      </c>
      <c r="E91" s="135"/>
    </row>
    <row r="92" spans="1:5" x14ac:dyDescent="0.4">
      <c r="A92" s="136" t="s">
        <v>93</v>
      </c>
      <c r="B92" s="137">
        <f>HLOOKUP(SUBSTITUTE(CONCATENATE(SUBSTITUTE(SUBSTITUTE(A92,"歳","")," ",""),"_男")," ",""),[12]データ貼り付けシート!$1:$2,2,FALSE)</f>
        <v>68</v>
      </c>
      <c r="C92" s="137">
        <f>HLOOKUP(SUBSTITUTE(CONCATENATE(SUBSTITUTE(SUBSTITUTE(A92,"歳","")," ",""),"_女")," ",""),[12]データ貼り付けシート!$1:$2,2,FALSE)</f>
        <v>131</v>
      </c>
      <c r="D92" s="137">
        <f>HLOOKUP(SUBSTITUTE(CONCATENATE(SUBSTITUTE(SUBSTITUTE(A92,"歳","")," ",""),"_全体")," ",""),[12]データ貼り付けシート!$1:$2,2,FALSE)</f>
        <v>199</v>
      </c>
      <c r="E92" s="135"/>
    </row>
    <row r="93" spans="1:5" x14ac:dyDescent="0.4">
      <c r="A93" s="136" t="s">
        <v>94</v>
      </c>
      <c r="B93" s="137">
        <f>HLOOKUP(SUBSTITUTE(CONCATENATE(SUBSTITUTE(SUBSTITUTE(A93,"歳","")," ",""),"_男")," ",""),[12]データ貼り付けシート!$1:$2,2,FALSE)</f>
        <v>56</v>
      </c>
      <c r="C93" s="137">
        <f>HLOOKUP(SUBSTITUTE(CONCATENATE(SUBSTITUTE(SUBSTITUTE(A93,"歳","")," ",""),"_女")," ",""),[12]データ貼り付けシート!$1:$2,2,FALSE)</f>
        <v>152</v>
      </c>
      <c r="D93" s="137">
        <f>HLOOKUP(SUBSTITUTE(CONCATENATE(SUBSTITUTE(SUBSTITUTE(A93,"歳","")," ",""),"_全体")," ",""),[12]データ貼り付けシート!$1:$2,2,FALSE)</f>
        <v>208</v>
      </c>
      <c r="E93" s="135"/>
    </row>
    <row r="94" spans="1:5" x14ac:dyDescent="0.4">
      <c r="A94" s="136" t="s">
        <v>95</v>
      </c>
      <c r="B94" s="137">
        <f>HLOOKUP(SUBSTITUTE(CONCATENATE(SUBSTITUTE(SUBSTITUTE(A94,"歳","")," ",""),"_男")," ",""),[12]データ貼り付けシート!$1:$2,2,FALSE)</f>
        <v>46</v>
      </c>
      <c r="C94" s="137">
        <f>HLOOKUP(SUBSTITUTE(CONCATENATE(SUBSTITUTE(SUBSTITUTE(A94,"歳","")," ",""),"_女")," ",""),[12]データ貼り付けシート!$1:$2,2,FALSE)</f>
        <v>116</v>
      </c>
      <c r="D94" s="137">
        <f>HLOOKUP(SUBSTITUTE(CONCATENATE(SUBSTITUTE(SUBSTITUTE(A94,"歳","")," ",""),"_全体")," ",""),[12]データ貼り付けシート!$1:$2,2,FALSE)</f>
        <v>162</v>
      </c>
      <c r="E94" s="135"/>
    </row>
    <row r="95" spans="1:5" x14ac:dyDescent="0.4">
      <c r="A95" s="136" t="s">
        <v>96</v>
      </c>
      <c r="B95" s="137">
        <f>HLOOKUP(SUBSTITUTE(CONCATENATE(SUBSTITUTE(SUBSTITUTE(A95,"歳","")," ",""),"_男")," ",""),[12]データ貼り付けシート!$1:$2,2,FALSE)</f>
        <v>26</v>
      </c>
      <c r="C95" s="137">
        <f>HLOOKUP(SUBSTITUTE(CONCATENATE(SUBSTITUTE(SUBSTITUTE(A95,"歳","")," ",""),"_女")," ",""),[12]データ貼り付けシート!$1:$2,2,FALSE)</f>
        <v>99</v>
      </c>
      <c r="D95" s="137">
        <f>HLOOKUP(SUBSTITUTE(CONCATENATE(SUBSTITUTE(SUBSTITUTE(A95,"歳","")," ",""),"_全体")," ",""),[12]データ貼り付けシート!$1:$2,2,FALSE)</f>
        <v>125</v>
      </c>
      <c r="E95" s="135"/>
    </row>
    <row r="96" spans="1:5" x14ac:dyDescent="0.4">
      <c r="A96" s="136" t="s">
        <v>97</v>
      </c>
      <c r="B96" s="137">
        <f>HLOOKUP(SUBSTITUTE(CONCATENATE(SUBSTITUTE(SUBSTITUTE(A96,"歳","")," ",""),"_男")," ",""),[12]データ貼り付けシート!$1:$2,2,FALSE)</f>
        <v>28</v>
      </c>
      <c r="C96" s="137">
        <f>HLOOKUP(SUBSTITUTE(CONCATENATE(SUBSTITUTE(SUBSTITUTE(A96,"歳","")," ",""),"_女")," ",""),[12]データ貼り付けシート!$1:$2,2,FALSE)</f>
        <v>68</v>
      </c>
      <c r="D96" s="137">
        <f>HLOOKUP(SUBSTITUTE(CONCATENATE(SUBSTITUTE(SUBSTITUTE(A96,"歳","")," ",""),"_全体")," ",""),[12]データ貼り付けシート!$1:$2,2,FALSE)</f>
        <v>96</v>
      </c>
      <c r="E96" s="135"/>
    </row>
    <row r="97" spans="1:5" x14ac:dyDescent="0.4">
      <c r="A97" s="136" t="s">
        <v>98</v>
      </c>
      <c r="B97" s="137">
        <f>HLOOKUP(SUBSTITUTE(CONCATENATE(SUBSTITUTE(SUBSTITUTE(A97,"歳","")," ",""),"_男")," ",""),[12]データ貼り付けシート!$1:$2,2,FALSE)</f>
        <v>14</v>
      </c>
      <c r="C97" s="137">
        <f>HLOOKUP(SUBSTITUTE(CONCATENATE(SUBSTITUTE(SUBSTITUTE(A97,"歳","")," ",""),"_女")," ",""),[12]データ貼り付けシート!$1:$2,2,FALSE)</f>
        <v>59</v>
      </c>
      <c r="D97" s="137">
        <f>HLOOKUP(SUBSTITUTE(CONCATENATE(SUBSTITUTE(SUBSTITUTE(A97,"歳","")," ",""),"_全体")," ",""),[12]データ貼り付けシート!$1:$2,2,FALSE)</f>
        <v>73</v>
      </c>
      <c r="E97" s="135"/>
    </row>
    <row r="98" spans="1:5" x14ac:dyDescent="0.4">
      <c r="A98" s="136" t="s">
        <v>99</v>
      </c>
      <c r="B98" s="137">
        <f>HLOOKUP(SUBSTITUTE(CONCATENATE(SUBSTITUTE(SUBSTITUTE(A98,"歳","")," ",""),"_男")," ",""),[12]データ貼り付けシート!$1:$2,2,FALSE)</f>
        <v>10</v>
      </c>
      <c r="C98" s="137">
        <f>HLOOKUP(SUBSTITUTE(CONCATENATE(SUBSTITUTE(SUBSTITUTE(A98,"歳","")," ",""),"_女")," ",""),[12]データ貼り付けシート!$1:$2,2,FALSE)</f>
        <v>56</v>
      </c>
      <c r="D98" s="137">
        <f>HLOOKUP(SUBSTITUTE(CONCATENATE(SUBSTITUTE(SUBSTITUTE(A98,"歳","")," ",""),"_全体")," ",""),[12]データ貼り付けシート!$1:$2,2,FALSE)</f>
        <v>66</v>
      </c>
      <c r="E98" s="135"/>
    </row>
    <row r="99" spans="1:5" x14ac:dyDescent="0.4">
      <c r="A99" s="136" t="s">
        <v>100</v>
      </c>
      <c r="B99" s="137">
        <f>HLOOKUP(SUBSTITUTE(CONCATENATE(SUBSTITUTE(SUBSTITUTE(A99,"歳","")," ",""),"_男")," ",""),[12]データ貼り付けシート!$1:$2,2,FALSE)</f>
        <v>5</v>
      </c>
      <c r="C99" s="137">
        <f>HLOOKUP(SUBSTITUTE(CONCATENATE(SUBSTITUTE(SUBSTITUTE(A99,"歳","")," ",""),"_女")," ",""),[12]データ貼り付けシート!$1:$2,2,FALSE)</f>
        <v>36</v>
      </c>
      <c r="D99" s="137">
        <f>HLOOKUP(SUBSTITUTE(CONCATENATE(SUBSTITUTE(SUBSTITUTE(A99,"歳","")," ",""),"_全体")," ",""),[12]データ貼り付けシート!$1:$2,2,FALSE)</f>
        <v>41</v>
      </c>
      <c r="E99" s="135"/>
    </row>
    <row r="100" spans="1:5" x14ac:dyDescent="0.4">
      <c r="A100" s="136" t="s">
        <v>101</v>
      </c>
      <c r="B100" s="137">
        <f>HLOOKUP(SUBSTITUTE(CONCATENATE(SUBSTITUTE(SUBSTITUTE(A100,"歳","")," ",""),"_男")," ",""),[12]データ貼り付けシート!$1:$2,2,FALSE)</f>
        <v>7</v>
      </c>
      <c r="C100" s="137">
        <f>HLOOKUP(SUBSTITUTE(CONCATENATE(SUBSTITUTE(SUBSTITUTE(A100,"歳","")," ",""),"_女")," ",""),[12]データ貼り付けシート!$1:$2,2,FALSE)</f>
        <v>34</v>
      </c>
      <c r="D100" s="137">
        <f>HLOOKUP(SUBSTITUTE(CONCATENATE(SUBSTITUTE(SUBSTITUTE(A100,"歳","")," ",""),"_全体")," ",""),[12]データ貼り付けシート!$1:$2,2,FALSE)</f>
        <v>41</v>
      </c>
      <c r="E100" s="135"/>
    </row>
    <row r="101" spans="1:5" x14ac:dyDescent="0.4">
      <c r="A101" s="136" t="s">
        <v>102</v>
      </c>
      <c r="B101" s="137">
        <f>HLOOKUP(SUBSTITUTE(CONCATENATE(SUBSTITUTE(SUBSTITUTE(A101,"歳","")," ",""),"_男")," ",""),[12]データ貼り付けシート!$1:$2,2,FALSE)</f>
        <v>4</v>
      </c>
      <c r="C101" s="137">
        <f>HLOOKUP(SUBSTITUTE(CONCATENATE(SUBSTITUTE(SUBSTITUTE(A101,"歳","")," ",""),"_女")," ",""),[12]データ貼り付けシート!$1:$2,2,FALSE)</f>
        <v>17</v>
      </c>
      <c r="D101" s="137">
        <f>HLOOKUP(SUBSTITUTE(CONCATENATE(SUBSTITUTE(SUBSTITUTE(A101,"歳","")," ",""),"_全体")," ",""),[12]データ貼り付けシート!$1:$2,2,FALSE)</f>
        <v>21</v>
      </c>
      <c r="E101" s="135"/>
    </row>
    <row r="102" spans="1:5" x14ac:dyDescent="0.4">
      <c r="A102" s="136" t="s">
        <v>103</v>
      </c>
      <c r="B102" s="137">
        <f>HLOOKUP(SUBSTITUTE(CONCATENATE(SUBSTITUTE(SUBSTITUTE(A102,"歳","")," ",""),"_男")," ",""),[12]データ貼り付けシート!$1:$2,2,FALSE)</f>
        <v>2</v>
      </c>
      <c r="C102" s="137">
        <f>HLOOKUP(SUBSTITUTE(CONCATENATE(SUBSTITUTE(SUBSTITUTE(A102,"歳","")," ",""),"_女")," ",""),[12]データ貼り付けシート!$1:$2,2,FALSE)</f>
        <v>22</v>
      </c>
      <c r="D102" s="137">
        <f>HLOOKUP(SUBSTITUTE(CONCATENATE(SUBSTITUTE(SUBSTITUTE(A102,"歳","")," ",""),"_全体")," ",""),[12]データ貼り付けシート!$1:$2,2,FALSE)</f>
        <v>24</v>
      </c>
      <c r="E102" s="135"/>
    </row>
    <row r="103" spans="1:5" x14ac:dyDescent="0.4">
      <c r="A103" s="136" t="s">
        <v>104</v>
      </c>
      <c r="B103" s="137">
        <f>HLOOKUP(SUBSTITUTE(CONCATENATE(SUBSTITUTE(SUBSTITUTE(A103,"歳","")," ",""),"_男")," ",""),[12]データ貼り付けシート!$1:$2,2,FALSE)</f>
        <v>0</v>
      </c>
      <c r="C103" s="137">
        <f>HLOOKUP(SUBSTITUTE(CONCATENATE(SUBSTITUTE(SUBSTITUTE(A103,"歳","")," ",""),"_女")," ",""),[12]データ貼り付けシート!$1:$2,2,FALSE)</f>
        <v>10</v>
      </c>
      <c r="D103" s="137">
        <f>HLOOKUP(SUBSTITUTE(CONCATENATE(SUBSTITUTE(SUBSTITUTE(A103,"歳","")," ",""),"_全体")," ",""),[12]データ貼り付けシート!$1:$2,2,FALSE)</f>
        <v>10</v>
      </c>
      <c r="E103" s="135"/>
    </row>
    <row r="104" spans="1:5" x14ac:dyDescent="0.4">
      <c r="A104" s="136" t="s">
        <v>105</v>
      </c>
      <c r="B104" s="137">
        <f>HLOOKUP(SUBSTITUTE(CONCATENATE(SUBSTITUTE(SUBSTITUTE(A104,"歳","")," ",""),"_男")," ",""),[12]データ貼り付けシート!$1:$2,2,FALSE)</f>
        <v>0</v>
      </c>
      <c r="C104" s="137">
        <f>HLOOKUP(SUBSTITUTE(CONCATENATE(SUBSTITUTE(SUBSTITUTE(A104,"歳","")," ",""),"_女")," ",""),[12]データ貼り付けシート!$1:$2,2,FALSE)</f>
        <v>4</v>
      </c>
      <c r="D104" s="137">
        <f>HLOOKUP(SUBSTITUTE(CONCATENATE(SUBSTITUTE(SUBSTITUTE(A104,"歳","")," ",""),"_全体")," ",""),[12]データ貼り付けシート!$1:$2,2,FALSE)</f>
        <v>4</v>
      </c>
      <c r="E104" s="135"/>
    </row>
    <row r="105" spans="1:5" x14ac:dyDescent="0.4">
      <c r="A105" s="136" t="s">
        <v>106</v>
      </c>
      <c r="B105" s="137">
        <f>HLOOKUP(SUBSTITUTE(CONCATENATE(SUBSTITUTE(SUBSTITUTE(A105,"歳","")," ",""),"_男")," ",""),[12]データ貼り付けシート!$1:$2,2,FALSE)</f>
        <v>0</v>
      </c>
      <c r="C105" s="137">
        <f>HLOOKUP(SUBSTITUTE(CONCATENATE(SUBSTITUTE(SUBSTITUTE(A105,"歳","")," ",""),"_女")," ",""),[12]データ貼り付けシート!$1:$2,2,FALSE)</f>
        <v>2</v>
      </c>
      <c r="D105" s="137">
        <f>HLOOKUP(SUBSTITUTE(CONCATENATE(SUBSTITUTE(SUBSTITUTE(A105,"歳","")," ",""),"_全体")," ",""),[12]データ貼り付けシート!$1:$2,2,FALSE)</f>
        <v>2</v>
      </c>
      <c r="E105" s="135"/>
    </row>
    <row r="106" spans="1:5" x14ac:dyDescent="0.4">
      <c r="A106" s="136" t="s">
        <v>107</v>
      </c>
      <c r="B106" s="137">
        <f>HLOOKUP(SUBSTITUTE(CONCATENATE(SUBSTITUTE(SUBSTITUTE(A106,"歳","")," ",""),"_男")," ",""),[12]データ貼り付けシート!$1:$2,2,FALSE)</f>
        <v>0</v>
      </c>
      <c r="C106" s="137">
        <f>HLOOKUP(SUBSTITUTE(CONCATENATE(SUBSTITUTE(SUBSTITUTE(A106,"歳","")," ",""),"_女")," ",""),[12]データ貼り付けシート!$1:$2,2,FALSE)</f>
        <v>1</v>
      </c>
      <c r="D106" s="137">
        <f>HLOOKUP(SUBSTITUTE(CONCATENATE(SUBSTITUTE(SUBSTITUTE(A106,"歳","")," ",""),"_全体")," ",""),[12]データ貼り付けシート!$1:$2,2,FALSE)</f>
        <v>1</v>
      </c>
      <c r="E106" s="135"/>
    </row>
    <row r="107" spans="1:5" x14ac:dyDescent="0.4">
      <c r="A107" s="136" t="s">
        <v>108</v>
      </c>
      <c r="B107" s="137">
        <f>HLOOKUP(SUBSTITUTE(CONCATENATE(SUBSTITUTE(SUBSTITUTE(A107,"歳","")," ",""),"_男")," ",""),[12]データ貼り付けシート!$1:$2,2,FALSE)</f>
        <v>1</v>
      </c>
      <c r="C107" s="137">
        <f>HLOOKUP(SUBSTITUTE(CONCATENATE(SUBSTITUTE(SUBSTITUTE(A107,"歳","")," ",""),"_女")," ",""),[12]データ貼り付けシート!$1:$2,2,FALSE)</f>
        <v>3</v>
      </c>
      <c r="D107" s="137">
        <f>HLOOKUP(SUBSTITUTE(CONCATENATE(SUBSTITUTE(SUBSTITUTE(A107,"歳","")," ",""),"_全体")," ",""),[12]データ貼り付けシート!$1:$2,2,FALSE)</f>
        <v>4</v>
      </c>
      <c r="E107" s="135"/>
    </row>
    <row r="108" spans="1:5" x14ac:dyDescent="0.4">
      <c r="A108" s="136" t="s">
        <v>193</v>
      </c>
      <c r="B108" s="137">
        <f>IF(ISERROR(HLOOKUP("105以上_男",[12]データ貼り付けシート!$1:$2,2,FALSE)),0,HLOOKUP("105以上_男",[12]データ貼り付けシート!$1:$2,2,FALSE))+IF(ISERROR(HLOOKUP("105_男",[12]データ貼り付けシート!$1:$2,2,FALSE)),0,HLOOKUP("105_男",[12]データ貼り付けシート!$1:$2,2,FALSE))</f>
        <v>0</v>
      </c>
      <c r="C108" s="137">
        <f>IF(ISERROR(HLOOKUP("105以上_女",[12]データ貼り付けシート!$1:$2,2,FALSE)),0,HLOOKUP("105以上_女",[12]データ貼り付けシート!$1:$2,2,FALSE))+IF(ISERROR(HLOOKUP("105_女",[12]データ貼り付けシート!$1:$2,2,FALSE)),0,HLOOKUP("105_女",[12]データ貼り付けシート!$1:$2,2,FALSE))</f>
        <v>1</v>
      </c>
      <c r="D108" s="137">
        <f>B108+C108</f>
        <v>1</v>
      </c>
      <c r="E108" s="135"/>
    </row>
    <row r="109" spans="1:5" x14ac:dyDescent="0.4">
      <c r="A109" s="136" t="s">
        <v>163</v>
      </c>
      <c r="B109" s="137">
        <f>IF(ISERROR(HLOOKUP("106以上_男",[12]データ貼り付けシート!$1:$2,2,FALSE)),0,HLOOKUP("106以上_男",[12]データ貼り付けシート!$1:$2,2,FALSE))+IF(ISERROR(HLOOKUP("106_男",[12]データ貼り付けシート!$1:$2,2,FALSE)),0,HLOOKUP("106_男",[12]データ貼り付けシート!$1:$2,2,FALSE))</f>
        <v>0</v>
      </c>
      <c r="C109" s="137">
        <f>IF(ISERROR(HLOOKUP("106以上_女",[12]データ貼り付けシート!$1:$2,2,FALSE)),0,HLOOKUP("106以上_女",[12]データ貼り付けシート!$1:$2,2,FALSE))+IF(ISERROR(HLOOKUP("106_女",[12]データ貼り付けシート!$1:$2,2,FALSE)),0,HLOOKUP("106_女",[12]データ貼り付けシート!$1:$2,2,FALSE))</f>
        <v>0</v>
      </c>
      <c r="D109" s="137">
        <f>B109+C109</f>
        <v>0</v>
      </c>
      <c r="E109" s="135"/>
    </row>
    <row r="110" spans="1:5" x14ac:dyDescent="0.4">
      <c r="A110" s="136" t="s">
        <v>167</v>
      </c>
      <c r="B110" s="137">
        <f>IF(ISERROR(HLOOKUP("107以上_男",[12]データ貼り付けシート!$1:$2,2,FALSE)),0,HLOOKUP("107以上_男",[12]データ貼り付けシート!$1:$2,2,FALSE))+IF(ISERROR(HLOOKUP("107_男",[12]データ貼り付けシート!$1:$2,2,FALSE)),0,HLOOKUP("107_男",[12]データ貼り付けシート!$1:$2,2,FALSE))</f>
        <v>0</v>
      </c>
      <c r="C110" s="137">
        <f>IF(ISERROR(HLOOKUP("107以上_女",[12]データ貼り付けシート!$1:$2,2,FALSE)),0,HLOOKUP("107以上_女",[12]データ貼り付けシート!$1:$2,2,FALSE))+IF(ISERROR(HLOOKUP("107_女",[12]データ貼り付けシート!$1:$2,2,FALSE)),0,HLOOKUP("107_女",[12]データ貼り付けシート!$1:$2,2,FALSE))</f>
        <v>1</v>
      </c>
      <c r="D110" s="137">
        <f>B110+C110</f>
        <v>1</v>
      </c>
      <c r="E110" s="135"/>
    </row>
    <row r="111" spans="1:5" x14ac:dyDescent="0.4">
      <c r="A111" s="136" t="s">
        <v>161</v>
      </c>
      <c r="B111" s="137">
        <f>IF(ISERROR(HLOOKUP("108以上_男",[12]データ貼り付けシート!$1:$2,2,FALSE)),0,HLOOKUP("108以上_男",[12]データ貼り付けシート!$1:$2,2,FALSE))+IF(ISERROR(HLOOKUP("108_男",[12]データ貼り付けシート!$1:$2,2,FALSE)),0,HLOOKUP("108_男",[12]データ貼り付けシート!$1:$2,2,FALSE))</f>
        <v>0</v>
      </c>
      <c r="C111" s="137">
        <f>IF(ISERROR(HLOOKUP("108以上_女",[12]データ貼り付けシート!$1:$2,2,FALSE)),0,HLOOKUP("108以上_女",[12]データ貼り付けシート!$1:$2,2,FALSE))+IF(ISERROR(HLOOKUP("108_女",[12]データ貼り付けシート!$1:$2,2,FALSE)),0,HLOOKUP("108_女",[12]データ貼り付けシート!$1:$2,2,FALSE))</f>
        <v>0</v>
      </c>
      <c r="D111" s="137">
        <f t="shared" ref="D111:D113" si="0">B111+C111</f>
        <v>0</v>
      </c>
      <c r="E111" s="135"/>
    </row>
    <row r="112" spans="1:5" x14ac:dyDescent="0.4">
      <c r="A112" s="136" t="s">
        <v>194</v>
      </c>
      <c r="B112" s="137">
        <f>IF(ISERROR(HLOOKUP("109以上_男",[12]データ貼り付けシート!$1:$2,2,FALSE)),0,HLOOKUP("109以上_男",[12]データ貼り付けシート!$1:$2,2,FALSE))+IF(ISERROR(HLOOKUP("109_男",[12]データ貼り付けシート!$1:$2,2,FALSE)),0,HLOOKUP("109_男",[12]データ貼り付けシート!$1:$2,2,FALSE))</f>
        <v>0</v>
      </c>
      <c r="C112" s="137">
        <f>IF(ISERROR(HLOOKUP("109以上_女",[12]データ貼り付けシート!$1:$2,2,FALSE)),0,HLOOKUP("109以上_女",[12]データ貼り付けシート!$1:$2,2,FALSE))+IF(ISERROR(HLOOKUP("109_女",[12]データ貼り付けシート!$1:$2,2,FALSE)),0,HLOOKUP("109_女",[12]データ貼り付けシート!$1:$2,2,FALSE))</f>
        <v>0</v>
      </c>
      <c r="D112" s="137">
        <f t="shared" si="0"/>
        <v>0</v>
      </c>
      <c r="E112" s="135"/>
    </row>
    <row r="113" spans="1:5" x14ac:dyDescent="0.4">
      <c r="A113" s="136" t="s">
        <v>152</v>
      </c>
      <c r="B113" s="137">
        <f>IF(ISERROR(HLOOKUP("110以上_男",[12]データ貼り付けシート!$1:$2,2,FALSE)),0,HLOOKUP("110以上_男",[12]データ貼り付けシート!$1:$2,2,FALSE))+IF(ISERROR(HLOOKUP("110_男",[12]データ貼り付けシート!$1:$2,2,FALSE)),0,HLOOKUP("110_男",[12]データ貼り付けシート!$1:$2,2,FALSE))</f>
        <v>0</v>
      </c>
      <c r="C113" s="137">
        <f>IF(ISERROR(HLOOKUP("110以上_女",[12]データ貼り付けシート!$1:$2,2,FALSE)),0,HLOOKUP("107以上_女",[12]データ貼り付けシート!$1:$2,2,FALSE))+IF(ISERROR(HLOOKUP("110_女",[12]データ貼り付けシート!$1:$2,2,FALSE)),0,HLOOKUP("110_女",[12]データ貼り付けシート!$1:$2,2,FALSE))</f>
        <v>0</v>
      </c>
      <c r="D113" s="137">
        <f t="shared" si="0"/>
        <v>0</v>
      </c>
      <c r="E113" s="135"/>
    </row>
    <row r="114" spans="1:5" x14ac:dyDescent="0.4">
      <c r="A114" s="135"/>
      <c r="B114" s="138"/>
      <c r="C114" s="138"/>
      <c r="D114" s="138"/>
      <c r="E114" s="135"/>
    </row>
    <row r="115" spans="1:5" x14ac:dyDescent="0.4">
      <c r="A115" s="139" t="s">
        <v>0</v>
      </c>
      <c r="B115" s="139" t="s">
        <v>1</v>
      </c>
      <c r="C115" s="140" t="s">
        <v>2</v>
      </c>
      <c r="D115" s="134" t="s">
        <v>3</v>
      </c>
      <c r="E115" s="135"/>
    </row>
    <row r="116" spans="1:5" x14ac:dyDescent="0.4">
      <c r="A116" s="139" t="s">
        <v>115</v>
      </c>
      <c r="B116" s="141">
        <f>SUM(B3:B8)</f>
        <v>2361</v>
      </c>
      <c r="C116" s="142">
        <f>SUM(C3:C8)</f>
        <v>2256</v>
      </c>
      <c r="D116" s="137">
        <f>B116+C116</f>
        <v>4617</v>
      </c>
      <c r="E116" s="135"/>
    </row>
    <row r="117" spans="1:5" x14ac:dyDescent="0.4">
      <c r="A117" s="139" t="s">
        <v>116</v>
      </c>
      <c r="B117" s="141">
        <f>SUM(B9:B14)</f>
        <v>2184</v>
      </c>
      <c r="C117" s="141">
        <f>SUM(C9:C14)</f>
        <v>2096</v>
      </c>
      <c r="D117" s="137">
        <f>B117+C117</f>
        <v>4280</v>
      </c>
      <c r="E117" s="135"/>
    </row>
    <row r="118" spans="1:5" x14ac:dyDescent="0.4">
      <c r="A118" s="139" t="s">
        <v>117</v>
      </c>
      <c r="B118" s="141">
        <f>SUM(B15:B17)</f>
        <v>1148</v>
      </c>
      <c r="C118" s="141">
        <f>SUM(C15:C17)</f>
        <v>1108</v>
      </c>
      <c r="D118" s="137">
        <f>B118+C118</f>
        <v>2256</v>
      </c>
      <c r="E118" s="135"/>
    </row>
    <row r="119" spans="1:5" x14ac:dyDescent="0.4">
      <c r="A119" s="139" t="s">
        <v>195</v>
      </c>
      <c r="B119" s="141">
        <f>SUM(B116:B118)</f>
        <v>5693</v>
      </c>
      <c r="C119" s="141">
        <f>SUM(C116:C118)</f>
        <v>5460</v>
      </c>
      <c r="D119" s="141">
        <f>SUM(D116:D118)</f>
        <v>11153</v>
      </c>
      <c r="E119" s="143">
        <f>D119/D135</f>
        <v>0.12879793978728074</v>
      </c>
    </row>
    <row r="120" spans="1:5" x14ac:dyDescent="0.4">
      <c r="A120" s="135"/>
      <c r="B120" s="135"/>
      <c r="C120" s="135"/>
      <c r="D120" s="135"/>
      <c r="E120" s="135"/>
    </row>
    <row r="121" spans="1:5" x14ac:dyDescent="0.4">
      <c r="A121" s="134" t="s">
        <v>0</v>
      </c>
      <c r="B121" s="134" t="s">
        <v>1</v>
      </c>
      <c r="C121" s="134" t="s">
        <v>2</v>
      </c>
      <c r="D121" s="134" t="s">
        <v>3</v>
      </c>
      <c r="E121" s="135"/>
    </row>
    <row r="122" spans="1:5" x14ac:dyDescent="0.4">
      <c r="A122" s="134" t="s">
        <v>119</v>
      </c>
      <c r="B122" s="137">
        <f>SUM(B18:B20)</f>
        <v>1193</v>
      </c>
      <c r="C122" s="137">
        <f>SUM(C18:C20)</f>
        <v>1111</v>
      </c>
      <c r="D122" s="137">
        <f t="shared" ref="D122:D126" si="1">B122+C122</f>
        <v>2304</v>
      </c>
      <c r="E122" s="135"/>
    </row>
    <row r="123" spans="1:5" x14ac:dyDescent="0.4">
      <c r="A123" s="134" t="s">
        <v>120</v>
      </c>
      <c r="B123" s="137">
        <f>SUM(B21:B32)</f>
        <v>5952</v>
      </c>
      <c r="C123" s="137">
        <f>SUM(C21:C32)</f>
        <v>5501</v>
      </c>
      <c r="D123" s="137">
        <f t="shared" si="1"/>
        <v>11453</v>
      </c>
      <c r="E123" s="135"/>
    </row>
    <row r="124" spans="1:5" x14ac:dyDescent="0.4">
      <c r="A124" s="134" t="s">
        <v>121</v>
      </c>
      <c r="B124" s="137">
        <f>SUM(B33:B42)</f>
        <v>5659</v>
      </c>
      <c r="C124" s="137">
        <f>SUM(C33:C42)</f>
        <v>5357</v>
      </c>
      <c r="D124" s="137">
        <f t="shared" si="1"/>
        <v>11016</v>
      </c>
      <c r="E124" s="135"/>
    </row>
    <row r="125" spans="1:5" x14ac:dyDescent="0.4">
      <c r="A125" s="134" t="s">
        <v>122</v>
      </c>
      <c r="B125" s="137">
        <f>SUM(B43:B52)</f>
        <v>7211</v>
      </c>
      <c r="C125" s="137">
        <f>SUM(C43:C52)</f>
        <v>6653</v>
      </c>
      <c r="D125" s="137">
        <f t="shared" si="1"/>
        <v>13864</v>
      </c>
      <c r="E125" s="135"/>
    </row>
    <row r="126" spans="1:5" x14ac:dyDescent="0.4">
      <c r="A126" s="144" t="s">
        <v>123</v>
      </c>
      <c r="B126" s="137">
        <f>SUM(B53:B67)</f>
        <v>7622</v>
      </c>
      <c r="C126" s="137">
        <f>SUM(C53:C67)</f>
        <v>7025</v>
      </c>
      <c r="D126" s="137">
        <f t="shared" si="1"/>
        <v>14647</v>
      </c>
      <c r="E126" s="135"/>
    </row>
    <row r="127" spans="1:5" ht="24" x14ac:dyDescent="0.4">
      <c r="A127" s="139" t="s">
        <v>196</v>
      </c>
      <c r="B127" s="142">
        <f>SUM(B122:B126)</f>
        <v>27637</v>
      </c>
      <c r="C127" s="142">
        <f>SUM(C122:C126)</f>
        <v>25647</v>
      </c>
      <c r="D127" s="142">
        <f>SUM(D122:D126)</f>
        <v>53284</v>
      </c>
      <c r="E127" s="143">
        <f>D127/D135</f>
        <v>0.61533842227431779</v>
      </c>
    </row>
    <row r="128" spans="1:5" x14ac:dyDescent="0.4">
      <c r="A128" s="135"/>
      <c r="B128" s="135"/>
      <c r="C128" s="135"/>
      <c r="D128" s="135"/>
      <c r="E128" s="135"/>
    </row>
    <row r="129" spans="1:5" x14ac:dyDescent="0.4">
      <c r="A129" s="134" t="s">
        <v>0</v>
      </c>
      <c r="B129" s="134" t="s">
        <v>1</v>
      </c>
      <c r="C129" s="134" t="s">
        <v>2</v>
      </c>
      <c r="D129" s="134" t="s">
        <v>3</v>
      </c>
      <c r="E129" s="135"/>
    </row>
    <row r="130" spans="1:5" x14ac:dyDescent="0.4">
      <c r="A130" s="134" t="s">
        <v>125</v>
      </c>
      <c r="B130" s="137">
        <f>SUM(B68:B72)</f>
        <v>2386</v>
      </c>
      <c r="C130" s="137">
        <f>SUM(C68:C72)</f>
        <v>2674</v>
      </c>
      <c r="D130" s="137">
        <f t="shared" ref="D130:D131" si="2">B130+C130</f>
        <v>5060</v>
      </c>
      <c r="E130" s="135"/>
    </row>
    <row r="131" spans="1:5" x14ac:dyDescent="0.4">
      <c r="A131" s="144" t="s">
        <v>126</v>
      </c>
      <c r="B131" s="137">
        <f>SUM(B73:B113)</f>
        <v>7410</v>
      </c>
      <c r="C131" s="137">
        <f>SUM(C73:C113)</f>
        <v>9686</v>
      </c>
      <c r="D131" s="137">
        <f t="shared" si="2"/>
        <v>17096</v>
      </c>
      <c r="E131" s="135"/>
    </row>
    <row r="132" spans="1:5" x14ac:dyDescent="0.4">
      <c r="A132" s="139" t="s">
        <v>155</v>
      </c>
      <c r="B132" s="142">
        <f>SUM(B130:B131)</f>
        <v>9796</v>
      </c>
      <c r="C132" s="142">
        <f>SUM(C130:C131)</f>
        <v>12360</v>
      </c>
      <c r="D132" s="142">
        <f>SUM(D130:D131)</f>
        <v>22156</v>
      </c>
      <c r="E132" s="143">
        <f>D132/D135</f>
        <v>0.2558636379384015</v>
      </c>
    </row>
    <row r="133" spans="1:5" x14ac:dyDescent="0.4">
      <c r="A133" s="135"/>
      <c r="B133" s="135"/>
      <c r="C133" s="135"/>
      <c r="D133" s="135"/>
      <c r="E133" s="135"/>
    </row>
    <row r="134" spans="1:5" x14ac:dyDescent="0.4">
      <c r="A134" s="175" t="s">
        <v>128</v>
      </c>
      <c r="B134" s="134" t="s">
        <v>1</v>
      </c>
      <c r="C134" s="134" t="s">
        <v>2</v>
      </c>
      <c r="D134" s="134" t="s">
        <v>3</v>
      </c>
      <c r="E134" s="135"/>
    </row>
    <row r="135" spans="1:5" x14ac:dyDescent="0.4">
      <c r="A135" s="176"/>
      <c r="B135" s="137">
        <f>SUM(B3:B113)</f>
        <v>43126</v>
      </c>
      <c r="C135" s="137">
        <f>SUM(C3:C113)</f>
        <v>43467</v>
      </c>
      <c r="D135" s="137">
        <f>B135+C135</f>
        <v>86593</v>
      </c>
      <c r="E135" s="135"/>
    </row>
    <row r="137" spans="1:5" x14ac:dyDescent="0.4">
      <c r="A137" s="132" t="s">
        <v>129</v>
      </c>
    </row>
  </sheetData>
  <mergeCells count="2">
    <mergeCell ref="A1:E1"/>
    <mergeCell ref="A134:A135"/>
  </mergeCells>
  <phoneticPr fontId="16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7"/>
  <sheetViews>
    <sheetView topLeftCell="A110" workbookViewId="0">
      <selection sqref="A1:E1"/>
    </sheetView>
  </sheetViews>
  <sheetFormatPr defaultRowHeight="12.75" customHeight="1" x14ac:dyDescent="0.4"/>
  <cols>
    <col min="1" max="6" width="9" style="15"/>
    <col min="7" max="7" width="40.125" style="15" bestFit="1" customWidth="1"/>
    <col min="8" max="16384" width="9" style="15"/>
  </cols>
  <sheetData>
    <row r="1" spans="1:7" ht="19.5" customHeight="1" x14ac:dyDescent="0.4">
      <c r="A1" s="147" t="s">
        <v>134</v>
      </c>
      <c r="B1" s="147"/>
      <c r="C1" s="147"/>
      <c r="D1" s="147"/>
      <c r="E1" s="147"/>
      <c r="G1" s="16"/>
    </row>
    <row r="2" spans="1:7" ht="12.75" customHeight="1" x14ac:dyDescent="0.4">
      <c r="A2" s="17" t="s">
        <v>0</v>
      </c>
      <c r="B2" s="17" t="s">
        <v>1</v>
      </c>
      <c r="C2" s="17" t="s">
        <v>2</v>
      </c>
      <c r="D2" s="17" t="s">
        <v>3</v>
      </c>
      <c r="E2" s="18"/>
    </row>
    <row r="3" spans="1:7" ht="12.75" customHeight="1" x14ac:dyDescent="0.4">
      <c r="A3" s="19" t="s">
        <v>4</v>
      </c>
      <c r="B3" s="20">
        <f>HLOOKUP(SUBSTITUTE(CONCATENATE(SUBSTITUTE(SUBSTITUTE(A3,"歳","")," ",""),"_男")," ",""),[2]データ貼り付けシート!$1:$2,2,FALSE)</f>
        <v>419</v>
      </c>
      <c r="C3" s="20">
        <f>HLOOKUP(SUBSTITUTE(CONCATENATE(SUBSTITUTE(SUBSTITUTE(A3,"歳","")," ",""),"_女")," ",""),[2]データ貼り付けシート!$1:$2,2,FALSE)</f>
        <v>391</v>
      </c>
      <c r="D3" s="20">
        <f>HLOOKUP(SUBSTITUTE(CONCATENATE(SUBSTITUTE(SUBSTITUTE(A3,"歳","")," ",""),"_全体")," ",""),[2]データ貼り付けシート!$1:$2,2,FALSE)</f>
        <v>810</v>
      </c>
      <c r="E3" s="18"/>
    </row>
    <row r="4" spans="1:7" ht="12.75" customHeight="1" x14ac:dyDescent="0.4">
      <c r="A4" s="19" t="s">
        <v>5</v>
      </c>
      <c r="B4" s="20">
        <f>HLOOKUP(SUBSTITUTE(CONCATENATE(SUBSTITUTE(SUBSTITUTE(A4,"歳","")," ",""),"_男")," ",""),[2]データ貼り付けシート!$1:$2,2,FALSE)</f>
        <v>397</v>
      </c>
      <c r="C4" s="20">
        <f>HLOOKUP(SUBSTITUTE(CONCATENATE(SUBSTITUTE(SUBSTITUTE(A4,"歳","")," ",""),"_女")," ",""),[2]データ貼り付けシート!$1:$2,2,FALSE)</f>
        <v>369</v>
      </c>
      <c r="D4" s="20">
        <f>HLOOKUP(SUBSTITUTE(CONCATENATE(SUBSTITUTE(SUBSTITUTE(A4,"歳","")," ",""),"_全体")," ",""),[2]データ貼り付けシート!$1:$2,2,FALSE)</f>
        <v>766</v>
      </c>
      <c r="E4" s="18"/>
    </row>
    <row r="5" spans="1:7" ht="12.75" customHeight="1" x14ac:dyDescent="0.4">
      <c r="A5" s="19" t="s">
        <v>6</v>
      </c>
      <c r="B5" s="20">
        <f>HLOOKUP(SUBSTITUTE(CONCATENATE(SUBSTITUTE(SUBSTITUTE(A5,"歳","")," ",""),"_男")," ",""),[2]データ貼り付けシート!$1:$2,2,FALSE)</f>
        <v>405</v>
      </c>
      <c r="C5" s="20">
        <f>HLOOKUP(SUBSTITUTE(CONCATENATE(SUBSTITUTE(SUBSTITUTE(A5,"歳","")," ",""),"_女")," ",""),[2]データ貼り付けシート!$1:$2,2,FALSE)</f>
        <v>379</v>
      </c>
      <c r="D5" s="20">
        <f>HLOOKUP(SUBSTITUTE(CONCATENATE(SUBSTITUTE(SUBSTITUTE(A5,"歳","")," ",""),"_全体")," ",""),[2]データ貼り付けシート!$1:$2,2,FALSE)</f>
        <v>784</v>
      </c>
      <c r="E5" s="18"/>
    </row>
    <row r="6" spans="1:7" ht="12.75" customHeight="1" x14ac:dyDescent="0.4">
      <c r="A6" s="19" t="s">
        <v>7</v>
      </c>
      <c r="B6" s="20">
        <f>HLOOKUP(SUBSTITUTE(CONCATENATE(SUBSTITUTE(SUBSTITUTE(A6,"歳","")," ",""),"_男")," ",""),[2]データ貼り付けシート!$1:$2,2,FALSE)</f>
        <v>392</v>
      </c>
      <c r="C6" s="20">
        <f>HLOOKUP(SUBSTITUTE(CONCATENATE(SUBSTITUTE(SUBSTITUTE(A6,"歳","")," ",""),"_女")," ",""),[2]データ貼り付けシート!$1:$2,2,FALSE)</f>
        <v>367</v>
      </c>
      <c r="D6" s="20">
        <f>HLOOKUP(SUBSTITUTE(CONCATENATE(SUBSTITUTE(SUBSTITUTE(A6,"歳","")," ",""),"_全体")," ",""),[2]データ貼り付けシート!$1:$2,2,FALSE)</f>
        <v>759</v>
      </c>
      <c r="E6" s="18"/>
    </row>
    <row r="7" spans="1:7" ht="12.75" customHeight="1" x14ac:dyDescent="0.4">
      <c r="A7" s="19" t="s">
        <v>8</v>
      </c>
      <c r="B7" s="20">
        <f>HLOOKUP(SUBSTITUTE(CONCATENATE(SUBSTITUTE(SUBSTITUTE(A7,"歳","")," ",""),"_男")," ",""),[2]データ貼り付けシート!$1:$2,2,FALSE)</f>
        <v>362</v>
      </c>
      <c r="C7" s="20">
        <f>HLOOKUP(SUBSTITUTE(CONCATENATE(SUBSTITUTE(SUBSTITUTE(A7,"歳","")," ",""),"_女")," ",""),[2]データ貼り付けシート!$1:$2,2,FALSE)</f>
        <v>397</v>
      </c>
      <c r="D7" s="20">
        <f>HLOOKUP(SUBSTITUTE(CONCATENATE(SUBSTITUTE(SUBSTITUTE(A7,"歳","")," ",""),"_全体")," ",""),[2]データ貼り付けシート!$1:$2,2,FALSE)</f>
        <v>759</v>
      </c>
      <c r="E7" s="18"/>
    </row>
    <row r="8" spans="1:7" ht="12.75" customHeight="1" x14ac:dyDescent="0.4">
      <c r="A8" s="19" t="s">
        <v>9</v>
      </c>
      <c r="B8" s="20">
        <f>HLOOKUP(SUBSTITUTE(CONCATENATE(SUBSTITUTE(SUBSTITUTE(A8,"歳","")," ",""),"_男")," ",""),[2]データ貼り付けシート!$1:$2,2,FALSE)</f>
        <v>381</v>
      </c>
      <c r="C8" s="20">
        <f>HLOOKUP(SUBSTITUTE(CONCATENATE(SUBSTITUTE(SUBSTITUTE(A8,"歳","")," ",""),"_女")," ",""),[2]データ貼り付けシート!$1:$2,2,FALSE)</f>
        <v>325</v>
      </c>
      <c r="D8" s="20">
        <f>HLOOKUP(SUBSTITUTE(CONCATENATE(SUBSTITUTE(SUBSTITUTE(A8,"歳","")," ",""),"_全体")," ",""),[2]データ貼り付けシート!$1:$2,2,FALSE)</f>
        <v>706</v>
      </c>
      <c r="E8" s="18"/>
    </row>
    <row r="9" spans="1:7" ht="12.75" customHeight="1" x14ac:dyDescent="0.4">
      <c r="A9" s="19" t="s">
        <v>10</v>
      </c>
      <c r="B9" s="20">
        <f>HLOOKUP(SUBSTITUTE(CONCATENATE(SUBSTITUTE(SUBSTITUTE(A9,"歳","")," ",""),"_男")," ",""),[2]データ貼り付けシート!$1:$2,2,FALSE)</f>
        <v>366</v>
      </c>
      <c r="C9" s="20">
        <f>HLOOKUP(SUBSTITUTE(CONCATENATE(SUBSTITUTE(SUBSTITUTE(A9,"歳","")," ",""),"_女")," ",""),[2]データ貼り付けシート!$1:$2,2,FALSE)</f>
        <v>341</v>
      </c>
      <c r="D9" s="20">
        <f>HLOOKUP(SUBSTITUTE(CONCATENATE(SUBSTITUTE(SUBSTITUTE(A9,"歳","")," ",""),"_全体")," ",""),[2]データ貼り付けシート!$1:$2,2,FALSE)</f>
        <v>707</v>
      </c>
      <c r="E9" s="18"/>
    </row>
    <row r="10" spans="1:7" ht="12.75" customHeight="1" x14ac:dyDescent="0.4">
      <c r="A10" s="19" t="s">
        <v>11</v>
      </c>
      <c r="B10" s="20">
        <f>HLOOKUP(SUBSTITUTE(CONCATENATE(SUBSTITUTE(SUBSTITUTE(A10,"歳","")," ",""),"_男")," ",""),[2]データ貼り付けシート!$1:$2,2,FALSE)</f>
        <v>358</v>
      </c>
      <c r="C10" s="20">
        <f>HLOOKUP(SUBSTITUTE(CONCATENATE(SUBSTITUTE(SUBSTITUTE(A10,"歳","")," ",""),"_女")," ",""),[2]データ貼り付けシート!$1:$2,2,FALSE)</f>
        <v>367</v>
      </c>
      <c r="D10" s="20">
        <f>HLOOKUP(SUBSTITUTE(CONCATENATE(SUBSTITUTE(SUBSTITUTE(A10,"歳","")," ",""),"_全体")," ",""),[2]データ貼り付けシート!$1:$2,2,FALSE)</f>
        <v>725</v>
      </c>
      <c r="E10" s="18"/>
    </row>
    <row r="11" spans="1:7" ht="12.75" customHeight="1" x14ac:dyDescent="0.4">
      <c r="A11" s="19" t="s">
        <v>12</v>
      </c>
      <c r="B11" s="20">
        <f>HLOOKUP(SUBSTITUTE(CONCATENATE(SUBSTITUTE(SUBSTITUTE(A11,"歳","")," ",""),"_男")," ",""),[2]データ貼り付けシート!$1:$2,2,FALSE)</f>
        <v>372</v>
      </c>
      <c r="C11" s="20">
        <f>HLOOKUP(SUBSTITUTE(CONCATENATE(SUBSTITUTE(SUBSTITUTE(A11,"歳","")," ",""),"_女")," ",""),[2]データ貼り付けシート!$1:$2,2,FALSE)</f>
        <v>376</v>
      </c>
      <c r="D11" s="20">
        <f>HLOOKUP(SUBSTITUTE(CONCATENATE(SUBSTITUTE(SUBSTITUTE(A11,"歳","")," ",""),"_全体")," ",""),[2]データ貼り付けシート!$1:$2,2,FALSE)</f>
        <v>748</v>
      </c>
      <c r="E11" s="18"/>
    </row>
    <row r="12" spans="1:7" ht="12.75" customHeight="1" x14ac:dyDescent="0.4">
      <c r="A12" s="19" t="s">
        <v>13</v>
      </c>
      <c r="B12" s="20">
        <f>HLOOKUP(SUBSTITUTE(CONCATENATE(SUBSTITUTE(SUBSTITUTE(A12,"歳","")," ",""),"_男")," ",""),[2]データ貼り付けシート!$1:$2,2,FALSE)</f>
        <v>397</v>
      </c>
      <c r="C12" s="20">
        <f>HLOOKUP(SUBSTITUTE(CONCATENATE(SUBSTITUTE(SUBSTITUTE(A12,"歳","")," ",""),"_女")," ",""),[2]データ貼り付けシート!$1:$2,2,FALSE)</f>
        <v>355</v>
      </c>
      <c r="D12" s="20">
        <f>HLOOKUP(SUBSTITUTE(CONCATENATE(SUBSTITUTE(SUBSTITUTE(A12,"歳","")," ",""),"_全体")," ",""),[2]データ貼り付けシート!$1:$2,2,FALSE)</f>
        <v>752</v>
      </c>
      <c r="E12" s="18"/>
    </row>
    <row r="13" spans="1:7" ht="12.75" customHeight="1" x14ac:dyDescent="0.4">
      <c r="A13" s="19" t="s">
        <v>14</v>
      </c>
      <c r="B13" s="20">
        <f>HLOOKUP(SUBSTITUTE(CONCATENATE(SUBSTITUTE(SUBSTITUTE(A13,"歳","")," ",""),"_男")," ",""),[2]データ貼り付けシート!$1:$2,2,FALSE)</f>
        <v>333</v>
      </c>
      <c r="C13" s="20">
        <f>HLOOKUP(SUBSTITUTE(CONCATENATE(SUBSTITUTE(SUBSTITUTE(A13,"歳","")," ",""),"_女")," ",""),[2]データ貼り付けシート!$1:$2,2,FALSE)</f>
        <v>358</v>
      </c>
      <c r="D13" s="20">
        <f>HLOOKUP(SUBSTITUTE(CONCATENATE(SUBSTITUTE(SUBSTITUTE(A13,"歳","")," ",""),"_全体")," ",""),[2]データ貼り付けシート!$1:$2,2,FALSE)</f>
        <v>691</v>
      </c>
      <c r="E13" s="18"/>
    </row>
    <row r="14" spans="1:7" ht="12.75" customHeight="1" x14ac:dyDescent="0.4">
      <c r="A14" s="19" t="s">
        <v>15</v>
      </c>
      <c r="B14" s="20">
        <f>HLOOKUP(SUBSTITUTE(CONCATENATE(SUBSTITUTE(SUBSTITUTE(A14,"歳","")," ",""),"_男")," ",""),[2]データ貼り付けシート!$1:$2,2,FALSE)</f>
        <v>373</v>
      </c>
      <c r="C14" s="20">
        <f>HLOOKUP(SUBSTITUTE(CONCATENATE(SUBSTITUTE(SUBSTITUTE(A14,"歳","")," ",""),"_女")," ",""),[2]データ貼り付けシート!$1:$2,2,FALSE)</f>
        <v>380</v>
      </c>
      <c r="D14" s="20">
        <f>HLOOKUP(SUBSTITUTE(CONCATENATE(SUBSTITUTE(SUBSTITUTE(A14,"歳","")," ",""),"_全体")," ",""),[2]データ貼り付けシート!$1:$2,2,FALSE)</f>
        <v>753</v>
      </c>
      <c r="E14" s="18"/>
    </row>
    <row r="15" spans="1:7" ht="12.75" customHeight="1" x14ac:dyDescent="0.4">
      <c r="A15" s="19" t="s">
        <v>16</v>
      </c>
      <c r="B15" s="20">
        <f>HLOOKUP(SUBSTITUTE(CONCATENATE(SUBSTITUTE(SUBSTITUTE(A15,"歳","")," ",""),"_男")," ",""),[2]データ貼り付けシート!$1:$2,2,FALSE)</f>
        <v>421</v>
      </c>
      <c r="C15" s="20">
        <f>HLOOKUP(SUBSTITUTE(CONCATENATE(SUBSTITUTE(SUBSTITUTE(A15,"歳","")," ",""),"_女")," ",""),[2]データ貼り付けシート!$1:$2,2,FALSE)</f>
        <v>355</v>
      </c>
      <c r="D15" s="20">
        <f>HLOOKUP(SUBSTITUTE(CONCATENATE(SUBSTITUTE(SUBSTITUTE(A15,"歳","")," ",""),"_全体")," ",""),[2]データ貼り付けシート!$1:$2,2,FALSE)</f>
        <v>776</v>
      </c>
      <c r="E15" s="18"/>
    </row>
    <row r="16" spans="1:7" ht="12.75" customHeight="1" x14ac:dyDescent="0.4">
      <c r="A16" s="19" t="s">
        <v>17</v>
      </c>
      <c r="B16" s="20">
        <f>HLOOKUP(SUBSTITUTE(CONCATENATE(SUBSTITUTE(SUBSTITUTE(A16,"歳","")," ",""),"_男")," ",""),[2]データ貼り付けシート!$1:$2,2,FALSE)</f>
        <v>359</v>
      </c>
      <c r="C16" s="20">
        <f>HLOOKUP(SUBSTITUTE(CONCATENATE(SUBSTITUTE(SUBSTITUTE(A16,"歳","")," ",""),"_女")," ",""),[2]データ貼り付けシート!$1:$2,2,FALSE)</f>
        <v>359</v>
      </c>
      <c r="D16" s="20">
        <f>HLOOKUP(SUBSTITUTE(CONCATENATE(SUBSTITUTE(SUBSTITUTE(A16,"歳","")," ",""),"_全体")," ",""),[2]データ貼り付けシート!$1:$2,2,FALSE)</f>
        <v>718</v>
      </c>
      <c r="E16" s="18"/>
    </row>
    <row r="17" spans="1:5" ht="12.75" customHeight="1" x14ac:dyDescent="0.4">
      <c r="A17" s="19" t="s">
        <v>18</v>
      </c>
      <c r="B17" s="20">
        <f>HLOOKUP(SUBSTITUTE(CONCATENATE(SUBSTITUTE(SUBSTITUTE(A17,"歳","")," ",""),"_男")," ",""),[2]データ貼り付けシート!$1:$2,2,FALSE)</f>
        <v>403</v>
      </c>
      <c r="C17" s="20">
        <f>HLOOKUP(SUBSTITUTE(CONCATENATE(SUBSTITUTE(SUBSTITUTE(A17,"歳","")," ",""),"_女")," ",""),[2]データ貼り付けシート!$1:$2,2,FALSE)</f>
        <v>365</v>
      </c>
      <c r="D17" s="20">
        <f>HLOOKUP(SUBSTITUTE(CONCATENATE(SUBSTITUTE(SUBSTITUTE(A17,"歳","")," ",""),"_全体")," ",""),[2]データ貼り付けシート!$1:$2,2,FALSE)</f>
        <v>768</v>
      </c>
      <c r="E17" s="18"/>
    </row>
    <row r="18" spans="1:5" ht="12.75" customHeight="1" x14ac:dyDescent="0.4">
      <c r="A18" s="19" t="s">
        <v>19</v>
      </c>
      <c r="B18" s="20">
        <f>HLOOKUP(SUBSTITUTE(CONCATENATE(SUBSTITUTE(SUBSTITUTE(A18,"歳","")," ",""),"_男")," ",""),[2]データ貼り付けシート!$1:$2,2,FALSE)</f>
        <v>388</v>
      </c>
      <c r="C18" s="20">
        <f>HLOOKUP(SUBSTITUTE(CONCATENATE(SUBSTITUTE(SUBSTITUTE(A18,"歳","")," ",""),"_女")," ",""),[2]データ貼り付けシート!$1:$2,2,FALSE)</f>
        <v>366</v>
      </c>
      <c r="D18" s="20">
        <f>HLOOKUP(SUBSTITUTE(CONCATENATE(SUBSTITUTE(SUBSTITUTE(A18,"歳","")," ",""),"_全体")," ",""),[2]データ貼り付けシート!$1:$2,2,FALSE)</f>
        <v>754</v>
      </c>
      <c r="E18" s="18"/>
    </row>
    <row r="19" spans="1:5" ht="12.75" customHeight="1" x14ac:dyDescent="0.4">
      <c r="A19" s="19" t="s">
        <v>20</v>
      </c>
      <c r="B19" s="20">
        <f>HLOOKUP(SUBSTITUTE(CONCATENATE(SUBSTITUTE(SUBSTITUTE(A19,"歳","")," ",""),"_男")," ",""),[2]データ貼り付けシート!$1:$2,2,FALSE)</f>
        <v>385</v>
      </c>
      <c r="C19" s="20">
        <f>HLOOKUP(SUBSTITUTE(CONCATENATE(SUBSTITUTE(SUBSTITUTE(A19,"歳","")," ",""),"_女")," ",""),[2]データ貼り付けシート!$1:$2,2,FALSE)</f>
        <v>388</v>
      </c>
      <c r="D19" s="20">
        <f>HLOOKUP(SUBSTITUTE(CONCATENATE(SUBSTITUTE(SUBSTITUTE(A19,"歳","")," ",""),"_全体")," ",""),[2]データ貼り付けシート!$1:$2,2,FALSE)</f>
        <v>773</v>
      </c>
      <c r="E19" s="18"/>
    </row>
    <row r="20" spans="1:5" ht="12.75" customHeight="1" x14ac:dyDescent="0.4">
      <c r="A20" s="19" t="s">
        <v>21</v>
      </c>
      <c r="B20" s="20">
        <f>HLOOKUP(SUBSTITUTE(CONCATENATE(SUBSTITUTE(SUBSTITUTE(A20,"歳","")," ",""),"_男")," ",""),[2]データ貼り付けシート!$1:$2,2,FALSE)</f>
        <v>433</v>
      </c>
      <c r="C20" s="20">
        <f>HLOOKUP(SUBSTITUTE(CONCATENATE(SUBSTITUTE(SUBSTITUTE(A20,"歳","")," ",""),"_女")," ",""),[2]データ貼り付けシート!$1:$2,2,FALSE)</f>
        <v>393</v>
      </c>
      <c r="D20" s="20">
        <f>HLOOKUP(SUBSTITUTE(CONCATENATE(SUBSTITUTE(SUBSTITUTE(A20,"歳","")," ",""),"_全体")," ",""),[2]データ貼り付けシート!$1:$2,2,FALSE)</f>
        <v>826</v>
      </c>
      <c r="E20" s="18"/>
    </row>
    <row r="21" spans="1:5" ht="12.75" customHeight="1" x14ac:dyDescent="0.4">
      <c r="A21" s="19" t="s">
        <v>22</v>
      </c>
      <c r="B21" s="20">
        <f>HLOOKUP(SUBSTITUTE(CONCATENATE(SUBSTITUTE(SUBSTITUTE(A21,"歳","")," ",""),"_男")," ",""),[2]データ貼り付けシート!$1:$2,2,FALSE)</f>
        <v>429</v>
      </c>
      <c r="C21" s="20">
        <f>HLOOKUP(SUBSTITUTE(CONCATENATE(SUBSTITUTE(SUBSTITUTE(A21,"歳","")," ",""),"_女")," ",""),[2]データ貼り付けシート!$1:$2,2,FALSE)</f>
        <v>387</v>
      </c>
      <c r="D21" s="20">
        <f>HLOOKUP(SUBSTITUTE(CONCATENATE(SUBSTITUTE(SUBSTITUTE(A21,"歳","")," ",""),"_全体")," ",""),[2]データ貼り付けシート!$1:$2,2,FALSE)</f>
        <v>816</v>
      </c>
      <c r="E21" s="18"/>
    </row>
    <row r="22" spans="1:5" ht="12.75" customHeight="1" x14ac:dyDescent="0.4">
      <c r="A22" s="19" t="s">
        <v>23</v>
      </c>
      <c r="B22" s="20">
        <f>HLOOKUP(SUBSTITUTE(CONCATENATE(SUBSTITUTE(SUBSTITUTE(A22,"歳","")," ",""),"_男")," ",""),[2]データ貼り付けシート!$1:$2,2,FALSE)</f>
        <v>473</v>
      </c>
      <c r="C22" s="20">
        <f>HLOOKUP(SUBSTITUTE(CONCATENATE(SUBSTITUTE(SUBSTITUTE(A22,"歳","")," ",""),"_女")," ",""),[2]データ貼り付けシート!$1:$2,2,FALSE)</f>
        <v>430</v>
      </c>
      <c r="D22" s="20">
        <f>HLOOKUP(SUBSTITUTE(CONCATENATE(SUBSTITUTE(SUBSTITUTE(A22,"歳","")," ",""),"_全体")," ",""),[2]データ貼り付けシート!$1:$2,2,FALSE)</f>
        <v>903</v>
      </c>
      <c r="E22" s="18"/>
    </row>
    <row r="23" spans="1:5" ht="12.75" customHeight="1" x14ac:dyDescent="0.4">
      <c r="A23" s="19" t="s">
        <v>24</v>
      </c>
      <c r="B23" s="20">
        <f>HLOOKUP(SUBSTITUTE(CONCATENATE(SUBSTITUTE(SUBSTITUTE(A23,"歳","")," ",""),"_男")," ",""),[2]データ貼り付けシート!$1:$2,2,FALSE)</f>
        <v>453</v>
      </c>
      <c r="C23" s="20">
        <f>HLOOKUP(SUBSTITUTE(CONCATENATE(SUBSTITUTE(SUBSTITUTE(A23,"歳","")," ",""),"_女")," ",""),[2]データ貼り付けシート!$1:$2,2,FALSE)</f>
        <v>434</v>
      </c>
      <c r="D23" s="20">
        <f>HLOOKUP(SUBSTITUTE(CONCATENATE(SUBSTITUTE(SUBSTITUTE(A23,"歳","")," ",""),"_全体")," ",""),[2]データ貼り付けシート!$1:$2,2,FALSE)</f>
        <v>887</v>
      </c>
      <c r="E23" s="18"/>
    </row>
    <row r="24" spans="1:5" ht="12.75" customHeight="1" x14ac:dyDescent="0.4">
      <c r="A24" s="19" t="s">
        <v>25</v>
      </c>
      <c r="B24" s="20">
        <f>HLOOKUP(SUBSTITUTE(CONCATENATE(SUBSTITUTE(SUBSTITUTE(A24,"歳","")," ",""),"_男")," ",""),[2]データ貼り付けシート!$1:$2,2,FALSE)</f>
        <v>449</v>
      </c>
      <c r="C24" s="20">
        <f>HLOOKUP(SUBSTITUTE(CONCATENATE(SUBSTITUTE(SUBSTITUTE(A24,"歳","")," ",""),"_女")," ",""),[2]データ貼り付けシート!$1:$2,2,FALSE)</f>
        <v>417</v>
      </c>
      <c r="D24" s="20">
        <f>HLOOKUP(SUBSTITUTE(CONCATENATE(SUBSTITUTE(SUBSTITUTE(A24,"歳","")," ",""),"_全体")," ",""),[2]データ貼り付けシート!$1:$2,2,FALSE)</f>
        <v>866</v>
      </c>
      <c r="E24" s="18"/>
    </row>
    <row r="25" spans="1:5" ht="12.75" customHeight="1" x14ac:dyDescent="0.4">
      <c r="A25" s="19" t="s">
        <v>26</v>
      </c>
      <c r="B25" s="20">
        <f>HLOOKUP(SUBSTITUTE(CONCATENATE(SUBSTITUTE(SUBSTITUTE(A25,"歳","")," ",""),"_男")," ",""),[2]データ貼り付けシート!$1:$2,2,FALSE)</f>
        <v>476</v>
      </c>
      <c r="C25" s="20">
        <f>HLOOKUP(SUBSTITUTE(CONCATENATE(SUBSTITUTE(SUBSTITUTE(A25,"歳","")," ",""),"_女")," ",""),[2]データ貼り付けシート!$1:$2,2,FALSE)</f>
        <v>449</v>
      </c>
      <c r="D25" s="20">
        <f>HLOOKUP(SUBSTITUTE(CONCATENATE(SUBSTITUTE(SUBSTITUTE(A25,"歳","")," ",""),"_全体")," ",""),[2]データ貼り付けシート!$1:$2,2,FALSE)</f>
        <v>925</v>
      </c>
      <c r="E25" s="18"/>
    </row>
    <row r="26" spans="1:5" ht="12.75" customHeight="1" x14ac:dyDescent="0.4">
      <c r="A26" s="19" t="s">
        <v>27</v>
      </c>
      <c r="B26" s="20">
        <f>HLOOKUP(SUBSTITUTE(CONCATENATE(SUBSTITUTE(SUBSTITUTE(A26,"歳","")," ",""),"_男")," ",""),[2]データ貼り付けシート!$1:$2,2,FALSE)</f>
        <v>498</v>
      </c>
      <c r="C26" s="20">
        <f>HLOOKUP(SUBSTITUTE(CONCATENATE(SUBSTITUTE(SUBSTITUTE(A26,"歳","")," ",""),"_女")," ",""),[2]データ貼り付けシート!$1:$2,2,FALSE)</f>
        <v>443</v>
      </c>
      <c r="D26" s="20">
        <f>HLOOKUP(SUBSTITUTE(CONCATENATE(SUBSTITUTE(SUBSTITUTE(A26,"歳","")," ",""),"_全体")," ",""),[2]データ貼り付けシート!$1:$2,2,FALSE)</f>
        <v>941</v>
      </c>
      <c r="E26" s="18"/>
    </row>
    <row r="27" spans="1:5" ht="12.75" customHeight="1" x14ac:dyDescent="0.4">
      <c r="A27" s="19" t="s">
        <v>28</v>
      </c>
      <c r="B27" s="20">
        <f>HLOOKUP(SUBSTITUTE(CONCATENATE(SUBSTITUTE(SUBSTITUTE(A27,"歳","")," ",""),"_男")," ",""),[2]データ貼り付けシート!$1:$2,2,FALSE)</f>
        <v>486</v>
      </c>
      <c r="C27" s="20">
        <f>HLOOKUP(SUBSTITUTE(CONCATENATE(SUBSTITUTE(SUBSTITUTE(A27,"歳","")," ",""),"_女")," ",""),[2]データ貼り付けシート!$1:$2,2,FALSE)</f>
        <v>420</v>
      </c>
      <c r="D27" s="20">
        <f>HLOOKUP(SUBSTITUTE(CONCATENATE(SUBSTITUTE(SUBSTITUTE(A27,"歳","")," ",""),"_全体")," ",""),[2]データ貼り付けシート!$1:$2,2,FALSE)</f>
        <v>906</v>
      </c>
      <c r="E27" s="18"/>
    </row>
    <row r="28" spans="1:5" ht="12.75" customHeight="1" x14ac:dyDescent="0.4">
      <c r="A28" s="19" t="s">
        <v>29</v>
      </c>
      <c r="B28" s="20">
        <f>HLOOKUP(SUBSTITUTE(CONCATENATE(SUBSTITUTE(SUBSTITUTE(A28,"歳","")," ",""),"_男")," ",""),[2]データ貼り付けシート!$1:$2,2,FALSE)</f>
        <v>517</v>
      </c>
      <c r="C28" s="20">
        <f>HLOOKUP(SUBSTITUTE(CONCATENATE(SUBSTITUTE(SUBSTITUTE(A28,"歳","")," ",""),"_女")," ",""),[2]データ貼り付けシート!$1:$2,2,FALSE)</f>
        <v>424</v>
      </c>
      <c r="D28" s="20">
        <f>HLOOKUP(SUBSTITUTE(CONCATENATE(SUBSTITUTE(SUBSTITUTE(A28,"歳","")," ",""),"_全体")," ",""),[2]データ貼り付けシート!$1:$2,2,FALSE)</f>
        <v>941</v>
      </c>
      <c r="E28" s="18"/>
    </row>
    <row r="29" spans="1:5" ht="12.75" customHeight="1" x14ac:dyDescent="0.4">
      <c r="A29" s="19" t="s">
        <v>30</v>
      </c>
      <c r="B29" s="20">
        <f>HLOOKUP(SUBSTITUTE(CONCATENATE(SUBSTITUTE(SUBSTITUTE(A29,"歳","")," ",""),"_男")," ",""),[2]データ貼り付けシート!$1:$2,2,FALSE)</f>
        <v>503</v>
      </c>
      <c r="C29" s="20">
        <f>HLOOKUP(SUBSTITUTE(CONCATENATE(SUBSTITUTE(SUBSTITUTE(A29,"歳","")," ",""),"_女")," ",""),[2]データ貼り付けシート!$1:$2,2,FALSE)</f>
        <v>476</v>
      </c>
      <c r="D29" s="20">
        <f>HLOOKUP(SUBSTITUTE(CONCATENATE(SUBSTITUTE(SUBSTITUTE(A29,"歳","")," ",""),"_全体")," ",""),[2]データ貼り付けシート!$1:$2,2,FALSE)</f>
        <v>979</v>
      </c>
      <c r="E29" s="18"/>
    </row>
    <row r="30" spans="1:5" ht="12.75" customHeight="1" x14ac:dyDescent="0.4">
      <c r="A30" s="19" t="s">
        <v>31</v>
      </c>
      <c r="B30" s="20">
        <f>HLOOKUP(SUBSTITUTE(CONCATENATE(SUBSTITUTE(SUBSTITUTE(A30,"歳","")," ",""),"_男")," ",""),[2]データ貼り付けシート!$1:$2,2,FALSE)</f>
        <v>501</v>
      </c>
      <c r="C30" s="20">
        <f>HLOOKUP(SUBSTITUTE(CONCATENATE(SUBSTITUTE(SUBSTITUTE(A30,"歳","")," ",""),"_女")," ",""),[2]データ貼り付けシート!$1:$2,2,FALSE)</f>
        <v>451</v>
      </c>
      <c r="D30" s="20">
        <f>HLOOKUP(SUBSTITUTE(CONCATENATE(SUBSTITUTE(SUBSTITUTE(A30,"歳","")," ",""),"_全体")," ",""),[2]データ貼り付けシート!$1:$2,2,FALSE)</f>
        <v>952</v>
      </c>
      <c r="E30" s="18"/>
    </row>
    <row r="31" spans="1:5" ht="12.75" customHeight="1" x14ac:dyDescent="0.4">
      <c r="A31" s="19" t="s">
        <v>32</v>
      </c>
      <c r="B31" s="20">
        <f>HLOOKUP(SUBSTITUTE(CONCATENATE(SUBSTITUTE(SUBSTITUTE(A31,"歳","")," ",""),"_男")," ",""),[2]データ貼り付けシート!$1:$2,2,FALSE)</f>
        <v>533</v>
      </c>
      <c r="C31" s="20">
        <f>HLOOKUP(SUBSTITUTE(CONCATENATE(SUBSTITUTE(SUBSTITUTE(A31,"歳","")," ",""),"_女")," ",""),[2]データ貼り付けシート!$1:$2,2,FALSE)</f>
        <v>539</v>
      </c>
      <c r="D31" s="20">
        <f>HLOOKUP(SUBSTITUTE(CONCATENATE(SUBSTITUTE(SUBSTITUTE(A31,"歳","")," ",""),"_全体")," ",""),[2]データ貼り付けシート!$1:$2,2,FALSE)</f>
        <v>1072</v>
      </c>
      <c r="E31" s="18"/>
    </row>
    <row r="32" spans="1:5" ht="12.75" customHeight="1" x14ac:dyDescent="0.4">
      <c r="A32" s="19" t="s">
        <v>33</v>
      </c>
      <c r="B32" s="20">
        <f>HLOOKUP(SUBSTITUTE(CONCATENATE(SUBSTITUTE(SUBSTITUTE(A32,"歳","")," ",""),"_男")," ",""),[2]データ貼り付けシート!$1:$2,2,FALSE)</f>
        <v>495</v>
      </c>
      <c r="C32" s="20">
        <f>HLOOKUP(SUBSTITUTE(CONCATENATE(SUBSTITUTE(SUBSTITUTE(A32,"歳","")," ",""),"_女")," ",""),[2]データ貼り付けシート!$1:$2,2,FALSE)</f>
        <v>492</v>
      </c>
      <c r="D32" s="20">
        <f>HLOOKUP(SUBSTITUTE(CONCATENATE(SUBSTITUTE(SUBSTITUTE(A32,"歳","")," ",""),"_全体")," ",""),[2]データ貼り付けシート!$1:$2,2,FALSE)</f>
        <v>987</v>
      </c>
      <c r="E32" s="18"/>
    </row>
    <row r="33" spans="1:5" ht="12.75" customHeight="1" x14ac:dyDescent="0.4">
      <c r="A33" s="19" t="s">
        <v>34</v>
      </c>
      <c r="B33" s="20">
        <f>HLOOKUP(SUBSTITUTE(CONCATENATE(SUBSTITUTE(SUBSTITUTE(A33,"歳","")," ",""),"_男")," ",""),[2]データ貼り付けシート!$1:$2,2,FALSE)</f>
        <v>587</v>
      </c>
      <c r="C33" s="20">
        <f>HLOOKUP(SUBSTITUTE(CONCATENATE(SUBSTITUTE(SUBSTITUTE(A33,"歳","")," ",""),"_女")," ",""),[2]データ貼り付けシート!$1:$2,2,FALSE)</f>
        <v>533</v>
      </c>
      <c r="D33" s="20">
        <f>HLOOKUP(SUBSTITUTE(CONCATENATE(SUBSTITUTE(SUBSTITUTE(A33,"歳","")," ",""),"_全体")," ",""),[2]データ貼り付けシート!$1:$2,2,FALSE)</f>
        <v>1120</v>
      </c>
      <c r="E33" s="18"/>
    </row>
    <row r="34" spans="1:5" ht="12.75" customHeight="1" x14ac:dyDescent="0.4">
      <c r="A34" s="19" t="s">
        <v>35</v>
      </c>
      <c r="B34" s="20">
        <f>HLOOKUP(SUBSTITUTE(CONCATENATE(SUBSTITUTE(SUBSTITUTE(A34,"歳","")," ",""),"_男")," ",""),[2]データ貼り付けシート!$1:$2,2,FALSE)</f>
        <v>536</v>
      </c>
      <c r="C34" s="20">
        <f>HLOOKUP(SUBSTITUTE(CONCATENATE(SUBSTITUTE(SUBSTITUTE(A34,"歳","")," ",""),"_女")," ",""),[2]データ貼り付けシート!$1:$2,2,FALSE)</f>
        <v>509</v>
      </c>
      <c r="D34" s="20">
        <f>HLOOKUP(SUBSTITUTE(CONCATENATE(SUBSTITUTE(SUBSTITUTE(A34,"歳","")," ",""),"_全体")," ",""),[2]データ貼り付けシート!$1:$2,2,FALSE)</f>
        <v>1045</v>
      </c>
      <c r="E34" s="18"/>
    </row>
    <row r="35" spans="1:5" ht="12.75" customHeight="1" x14ac:dyDescent="0.4">
      <c r="A35" s="19" t="s">
        <v>36</v>
      </c>
      <c r="B35" s="20">
        <f>HLOOKUP(SUBSTITUTE(CONCATENATE(SUBSTITUTE(SUBSTITUTE(A35,"歳","")," ",""),"_男")," ",""),[2]データ貼り付けシート!$1:$2,2,FALSE)</f>
        <v>517</v>
      </c>
      <c r="C35" s="20">
        <f>HLOOKUP(SUBSTITUTE(CONCATENATE(SUBSTITUTE(SUBSTITUTE(A35,"歳","")," ",""),"_女")," ",""),[2]データ貼り付けシート!$1:$2,2,FALSE)</f>
        <v>514</v>
      </c>
      <c r="D35" s="20">
        <f>HLOOKUP(SUBSTITUTE(CONCATENATE(SUBSTITUTE(SUBSTITUTE(A35,"歳","")," ",""),"_全体")," ",""),[2]データ貼り付けシート!$1:$2,2,FALSE)</f>
        <v>1031</v>
      </c>
      <c r="E35" s="18"/>
    </row>
    <row r="36" spans="1:5" ht="12.75" customHeight="1" x14ac:dyDescent="0.4">
      <c r="A36" s="19" t="s">
        <v>37</v>
      </c>
      <c r="B36" s="20">
        <f>HLOOKUP(SUBSTITUTE(CONCATENATE(SUBSTITUTE(SUBSTITUTE(A36,"歳","")," ",""),"_男")," ",""),[2]データ貼り付けシート!$1:$2,2,FALSE)</f>
        <v>546</v>
      </c>
      <c r="C36" s="20">
        <f>HLOOKUP(SUBSTITUTE(CONCATENATE(SUBSTITUTE(SUBSTITUTE(A36,"歳","")," ",""),"_女")," ",""),[2]データ貼り付けシート!$1:$2,2,FALSE)</f>
        <v>540</v>
      </c>
      <c r="D36" s="20">
        <f>HLOOKUP(SUBSTITUTE(CONCATENATE(SUBSTITUTE(SUBSTITUTE(A36,"歳","")," ",""),"_全体")," ",""),[2]データ貼り付けシート!$1:$2,2,FALSE)</f>
        <v>1086</v>
      </c>
      <c r="E36" s="18"/>
    </row>
    <row r="37" spans="1:5" ht="12.75" customHeight="1" x14ac:dyDescent="0.4">
      <c r="A37" s="19" t="s">
        <v>38</v>
      </c>
      <c r="B37" s="20">
        <f>HLOOKUP(SUBSTITUTE(CONCATENATE(SUBSTITUTE(SUBSTITUTE(A37,"歳","")," ",""),"_男")," ",""),[2]データ貼り付けシート!$1:$2,2,FALSE)</f>
        <v>569</v>
      </c>
      <c r="C37" s="20">
        <f>HLOOKUP(SUBSTITUTE(CONCATENATE(SUBSTITUTE(SUBSTITUTE(A37,"歳","")," ",""),"_女")," ",""),[2]データ貼り付けシート!$1:$2,2,FALSE)</f>
        <v>493</v>
      </c>
      <c r="D37" s="20">
        <f>HLOOKUP(SUBSTITUTE(CONCATENATE(SUBSTITUTE(SUBSTITUTE(A37,"歳","")," ",""),"_全体")," ",""),[2]データ貼り付けシート!$1:$2,2,FALSE)</f>
        <v>1062</v>
      </c>
      <c r="E37" s="18"/>
    </row>
    <row r="38" spans="1:5" ht="12.75" customHeight="1" x14ac:dyDescent="0.4">
      <c r="A38" s="19" t="s">
        <v>39</v>
      </c>
      <c r="B38" s="20">
        <f>HLOOKUP(SUBSTITUTE(CONCATENATE(SUBSTITUTE(SUBSTITUTE(A38,"歳","")," ",""),"_男")," ",""),[2]データ貼り付けシート!$1:$2,2,FALSE)</f>
        <v>539</v>
      </c>
      <c r="C38" s="20">
        <f>HLOOKUP(SUBSTITUTE(CONCATENATE(SUBSTITUTE(SUBSTITUTE(A38,"歳","")," ",""),"_女")," ",""),[2]データ貼り付けシート!$1:$2,2,FALSE)</f>
        <v>556</v>
      </c>
      <c r="D38" s="20">
        <f>HLOOKUP(SUBSTITUTE(CONCATENATE(SUBSTITUTE(SUBSTITUTE(A38,"歳","")," ",""),"_全体")," ",""),[2]データ貼り付けシート!$1:$2,2,FALSE)</f>
        <v>1095</v>
      </c>
      <c r="E38" s="18"/>
    </row>
    <row r="39" spans="1:5" ht="12.75" customHeight="1" x14ac:dyDescent="0.4">
      <c r="A39" s="19" t="s">
        <v>40</v>
      </c>
      <c r="B39" s="20">
        <f>HLOOKUP(SUBSTITUTE(CONCATENATE(SUBSTITUTE(SUBSTITUTE(A39,"歳","")," ",""),"_男")," ",""),[2]データ貼り付けシート!$1:$2,2,FALSE)</f>
        <v>595</v>
      </c>
      <c r="C39" s="20">
        <f>HLOOKUP(SUBSTITUTE(CONCATENATE(SUBSTITUTE(SUBSTITUTE(A39,"歳","")," ",""),"_女")," ",""),[2]データ貼り付けシート!$1:$2,2,FALSE)</f>
        <v>554</v>
      </c>
      <c r="D39" s="20">
        <f>HLOOKUP(SUBSTITUTE(CONCATENATE(SUBSTITUTE(SUBSTITUTE(A39,"歳","")," ",""),"_全体")," ",""),[2]データ貼り付けシート!$1:$2,2,FALSE)</f>
        <v>1149</v>
      </c>
      <c r="E39" s="18"/>
    </row>
    <row r="40" spans="1:5" ht="12.75" customHeight="1" x14ac:dyDescent="0.4">
      <c r="A40" s="19" t="s">
        <v>41</v>
      </c>
      <c r="B40" s="20">
        <f>HLOOKUP(SUBSTITUTE(CONCATENATE(SUBSTITUTE(SUBSTITUTE(A40,"歳","")," ",""),"_男")," ",""),[2]データ貼り付けシート!$1:$2,2,FALSE)</f>
        <v>539</v>
      </c>
      <c r="C40" s="20">
        <f>HLOOKUP(SUBSTITUTE(CONCATENATE(SUBSTITUTE(SUBSTITUTE(A40,"歳","")," ",""),"_女")," ",""),[2]データ貼り付けシート!$1:$2,2,FALSE)</f>
        <v>536</v>
      </c>
      <c r="D40" s="20">
        <f>HLOOKUP(SUBSTITUTE(CONCATENATE(SUBSTITUTE(SUBSTITUTE(A40,"歳","")," ",""),"_全体")," ",""),[2]データ貼り付けシート!$1:$2,2,FALSE)</f>
        <v>1075</v>
      </c>
      <c r="E40" s="18"/>
    </row>
    <row r="41" spans="1:5" ht="12.75" customHeight="1" x14ac:dyDescent="0.4">
      <c r="A41" s="19" t="s">
        <v>42</v>
      </c>
      <c r="B41" s="20">
        <f>HLOOKUP(SUBSTITUTE(CONCATENATE(SUBSTITUTE(SUBSTITUTE(A41,"歳","")," ",""),"_男")," ",""),[2]データ貼り付けシート!$1:$2,2,FALSE)</f>
        <v>590</v>
      </c>
      <c r="C41" s="20">
        <f>HLOOKUP(SUBSTITUTE(CONCATENATE(SUBSTITUTE(SUBSTITUTE(A41,"歳","")," ",""),"_女")," ",""),[2]データ貼り付けシート!$1:$2,2,FALSE)</f>
        <v>539</v>
      </c>
      <c r="D41" s="20">
        <f>HLOOKUP(SUBSTITUTE(CONCATENATE(SUBSTITUTE(SUBSTITUTE(A41,"歳","")," ",""),"_全体")," ",""),[2]データ貼り付けシート!$1:$2,2,FALSE)</f>
        <v>1129</v>
      </c>
      <c r="E41" s="18"/>
    </row>
    <row r="42" spans="1:5" ht="12.75" customHeight="1" x14ac:dyDescent="0.4">
      <c r="A42" s="19" t="s">
        <v>43</v>
      </c>
      <c r="B42" s="20">
        <f>HLOOKUP(SUBSTITUTE(CONCATENATE(SUBSTITUTE(SUBSTITUTE(A42,"歳","")," ",""),"_男")," ",""),[2]データ貼り付けシート!$1:$2,2,FALSE)</f>
        <v>566</v>
      </c>
      <c r="C42" s="20">
        <f>HLOOKUP(SUBSTITUTE(CONCATENATE(SUBSTITUTE(SUBSTITUTE(A42,"歳","")," ",""),"_女")," ",""),[2]データ貼り付けシート!$1:$2,2,FALSE)</f>
        <v>551</v>
      </c>
      <c r="D42" s="20">
        <f>HLOOKUP(SUBSTITUTE(CONCATENATE(SUBSTITUTE(SUBSTITUTE(A42,"歳","")," ",""),"_全体")," ",""),[2]データ貼り付けシート!$1:$2,2,FALSE)</f>
        <v>1117</v>
      </c>
      <c r="E42" s="18"/>
    </row>
    <row r="43" spans="1:5" ht="12.75" customHeight="1" x14ac:dyDescent="0.4">
      <c r="A43" s="19" t="s">
        <v>44</v>
      </c>
      <c r="B43" s="20">
        <f>HLOOKUP(SUBSTITUTE(CONCATENATE(SUBSTITUTE(SUBSTITUTE(A43,"歳","")," ",""),"_男")," ",""),[2]データ貼り付けシート!$1:$2,2,FALSE)</f>
        <v>594</v>
      </c>
      <c r="C43" s="20">
        <f>HLOOKUP(SUBSTITUTE(CONCATENATE(SUBSTITUTE(SUBSTITUTE(A43,"歳","")," ",""),"_女")," ",""),[2]データ貼り付けシート!$1:$2,2,FALSE)</f>
        <v>558</v>
      </c>
      <c r="D43" s="20">
        <f>HLOOKUP(SUBSTITUTE(CONCATENATE(SUBSTITUTE(SUBSTITUTE(A43,"歳","")," ",""),"_全体")," ",""),[2]データ貼り付けシート!$1:$2,2,FALSE)</f>
        <v>1152</v>
      </c>
      <c r="E43" s="18"/>
    </row>
    <row r="44" spans="1:5" ht="12.75" customHeight="1" x14ac:dyDescent="0.4">
      <c r="A44" s="19" t="s">
        <v>45</v>
      </c>
      <c r="B44" s="20">
        <f>HLOOKUP(SUBSTITUTE(CONCATENATE(SUBSTITUTE(SUBSTITUTE(A44,"歳","")," ",""),"_男")," ",""),[2]データ貼り付けシート!$1:$2,2,FALSE)</f>
        <v>654</v>
      </c>
      <c r="C44" s="20">
        <f>HLOOKUP(SUBSTITUTE(CONCATENATE(SUBSTITUTE(SUBSTITUTE(A44,"歳","")," ",""),"_女")," ",""),[2]データ貼り付けシート!$1:$2,2,FALSE)</f>
        <v>601</v>
      </c>
      <c r="D44" s="20">
        <f>HLOOKUP(SUBSTITUTE(CONCATENATE(SUBSTITUTE(SUBSTITUTE(A44,"歳","")," ",""),"_全体")," ",""),[2]データ貼り付けシート!$1:$2,2,FALSE)</f>
        <v>1255</v>
      </c>
      <c r="E44" s="18"/>
    </row>
    <row r="45" spans="1:5" ht="12.75" customHeight="1" x14ac:dyDescent="0.4">
      <c r="A45" s="19" t="s">
        <v>46</v>
      </c>
      <c r="B45" s="20">
        <f>HLOOKUP(SUBSTITUTE(CONCATENATE(SUBSTITUTE(SUBSTITUTE(A45,"歳","")," ",""),"_男")," ",""),[2]データ貼り付けシート!$1:$2,2,FALSE)</f>
        <v>623</v>
      </c>
      <c r="C45" s="20">
        <f>HLOOKUP(SUBSTITUTE(CONCATENATE(SUBSTITUTE(SUBSTITUTE(A45,"歳","")," ",""),"_女")," ",""),[2]データ貼り付けシート!$1:$2,2,FALSE)</f>
        <v>571</v>
      </c>
      <c r="D45" s="20">
        <f>HLOOKUP(SUBSTITUTE(CONCATENATE(SUBSTITUTE(SUBSTITUTE(A45,"歳","")," ",""),"_全体")," ",""),[2]データ貼り付けシート!$1:$2,2,FALSE)</f>
        <v>1194</v>
      </c>
      <c r="E45" s="18"/>
    </row>
    <row r="46" spans="1:5" ht="12.75" customHeight="1" x14ac:dyDescent="0.4">
      <c r="A46" s="19" t="s">
        <v>47</v>
      </c>
      <c r="B46" s="20">
        <f>HLOOKUP(SUBSTITUTE(CONCATENATE(SUBSTITUTE(SUBSTITUTE(A46,"歳","")," ",""),"_男")," ",""),[2]データ貼り付けシート!$1:$2,2,FALSE)</f>
        <v>724</v>
      </c>
      <c r="C46" s="20">
        <f>HLOOKUP(SUBSTITUTE(CONCATENATE(SUBSTITUTE(SUBSTITUTE(A46,"歳","")," ",""),"_女")," ",""),[2]データ貼り付けシート!$1:$2,2,FALSE)</f>
        <v>657</v>
      </c>
      <c r="D46" s="20">
        <f>HLOOKUP(SUBSTITUTE(CONCATENATE(SUBSTITUTE(SUBSTITUTE(A46,"歳","")," ",""),"_全体")," ",""),[2]データ貼り付けシート!$1:$2,2,FALSE)</f>
        <v>1381</v>
      </c>
      <c r="E46" s="18"/>
    </row>
    <row r="47" spans="1:5" ht="12.75" customHeight="1" x14ac:dyDescent="0.4">
      <c r="A47" s="19" t="s">
        <v>48</v>
      </c>
      <c r="B47" s="20">
        <f>HLOOKUP(SUBSTITUTE(CONCATENATE(SUBSTITUTE(SUBSTITUTE(A47,"歳","")," ",""),"_男")," ",""),[2]データ貼り付けシート!$1:$2,2,FALSE)</f>
        <v>763</v>
      </c>
      <c r="C47" s="20">
        <f>HLOOKUP(SUBSTITUTE(CONCATENATE(SUBSTITUTE(SUBSTITUTE(A47,"歳","")," ",""),"_女")," ",""),[2]データ貼り付けシート!$1:$2,2,FALSE)</f>
        <v>715</v>
      </c>
      <c r="D47" s="20">
        <f>HLOOKUP(SUBSTITUTE(CONCATENATE(SUBSTITUTE(SUBSTITUTE(A47,"歳","")," ",""),"_全体")," ",""),[2]データ貼り付けシート!$1:$2,2,FALSE)</f>
        <v>1478</v>
      </c>
      <c r="E47" s="18"/>
    </row>
    <row r="48" spans="1:5" ht="12.75" customHeight="1" x14ac:dyDescent="0.4">
      <c r="A48" s="19" t="s">
        <v>49</v>
      </c>
      <c r="B48" s="20">
        <f>HLOOKUP(SUBSTITUTE(CONCATENATE(SUBSTITUTE(SUBSTITUTE(A48,"歳","")," ",""),"_男")," ",""),[2]データ貼り付けシート!$1:$2,2,FALSE)</f>
        <v>870</v>
      </c>
      <c r="C48" s="20">
        <f>HLOOKUP(SUBSTITUTE(CONCATENATE(SUBSTITUTE(SUBSTITUTE(A48,"歳","")," ",""),"_女")," ",""),[2]データ貼り付けシート!$1:$2,2,FALSE)</f>
        <v>748</v>
      </c>
      <c r="D48" s="20">
        <f>HLOOKUP(SUBSTITUTE(CONCATENATE(SUBSTITUTE(SUBSTITUTE(A48,"歳","")," ",""),"_全体")," ",""),[2]データ貼り付けシート!$1:$2,2,FALSE)</f>
        <v>1618</v>
      </c>
      <c r="E48" s="18"/>
    </row>
    <row r="49" spans="1:5" ht="12.75" customHeight="1" x14ac:dyDescent="0.4">
      <c r="A49" s="19" t="s">
        <v>50</v>
      </c>
      <c r="B49" s="20">
        <f>HLOOKUP(SUBSTITUTE(CONCATENATE(SUBSTITUTE(SUBSTITUTE(A49,"歳","")," ",""),"_男")," ",""),[2]データ貼り付けシート!$1:$2,2,FALSE)</f>
        <v>840</v>
      </c>
      <c r="C49" s="20">
        <f>HLOOKUP(SUBSTITUTE(CONCATENATE(SUBSTITUTE(SUBSTITUTE(A49,"歳","")," ",""),"_女")," ",""),[2]データ貼り付けシート!$1:$2,2,FALSE)</f>
        <v>753</v>
      </c>
      <c r="D49" s="20">
        <f>HLOOKUP(SUBSTITUTE(CONCATENATE(SUBSTITUTE(SUBSTITUTE(A49,"歳","")," ",""),"_全体")," ",""),[2]データ貼り付けシート!$1:$2,2,FALSE)</f>
        <v>1593</v>
      </c>
      <c r="E49" s="18"/>
    </row>
    <row r="50" spans="1:5" ht="12.75" customHeight="1" x14ac:dyDescent="0.4">
      <c r="A50" s="19" t="s">
        <v>51</v>
      </c>
      <c r="B50" s="20">
        <f>HLOOKUP(SUBSTITUTE(CONCATENATE(SUBSTITUTE(SUBSTITUTE(A50,"歳","")," ",""),"_男")," ",""),[2]データ貼り付けシート!$1:$2,2,FALSE)</f>
        <v>799</v>
      </c>
      <c r="C50" s="20">
        <f>HLOOKUP(SUBSTITUTE(CONCATENATE(SUBSTITUTE(SUBSTITUTE(A50,"歳","")," ",""),"_女")," ",""),[2]データ貼り付けシート!$1:$2,2,FALSE)</f>
        <v>752</v>
      </c>
      <c r="D50" s="20">
        <f>HLOOKUP(SUBSTITUTE(CONCATENATE(SUBSTITUTE(SUBSTITUTE(A50,"歳","")," ",""),"_全体")," ",""),[2]データ貼り付けシート!$1:$2,2,FALSE)</f>
        <v>1551</v>
      </c>
      <c r="E50" s="18"/>
    </row>
    <row r="51" spans="1:5" ht="12.75" customHeight="1" x14ac:dyDescent="0.4">
      <c r="A51" s="19" t="s">
        <v>52</v>
      </c>
      <c r="B51" s="20">
        <f>HLOOKUP(SUBSTITUTE(CONCATENATE(SUBSTITUTE(SUBSTITUTE(A51,"歳","")," ",""),"_男")," ",""),[2]データ貼り付けシート!$1:$2,2,FALSE)</f>
        <v>748</v>
      </c>
      <c r="C51" s="20">
        <f>HLOOKUP(SUBSTITUTE(CONCATENATE(SUBSTITUTE(SUBSTITUTE(A51,"歳","")," ",""),"_女")," ",""),[2]データ貼り付けシート!$1:$2,2,FALSE)</f>
        <v>707</v>
      </c>
      <c r="D51" s="20">
        <f>HLOOKUP(SUBSTITUTE(CONCATENATE(SUBSTITUTE(SUBSTITUTE(A51,"歳","")," ",""),"_全体")," ",""),[2]データ貼り付けシート!$1:$2,2,FALSE)</f>
        <v>1455</v>
      </c>
      <c r="E51" s="18"/>
    </row>
    <row r="52" spans="1:5" ht="12.75" customHeight="1" x14ac:dyDescent="0.4">
      <c r="A52" s="19" t="s">
        <v>53</v>
      </c>
      <c r="B52" s="20">
        <f>HLOOKUP(SUBSTITUTE(CONCATENATE(SUBSTITUTE(SUBSTITUTE(A52,"歳","")," ",""),"_男")," ",""),[2]データ貼り付けシート!$1:$2,2,FALSE)</f>
        <v>737</v>
      </c>
      <c r="C52" s="20">
        <f>HLOOKUP(SUBSTITUTE(CONCATENATE(SUBSTITUTE(SUBSTITUTE(A52,"歳","")," ",""),"_女")," ",""),[2]データ貼り付けシート!$1:$2,2,FALSE)</f>
        <v>624</v>
      </c>
      <c r="D52" s="20">
        <f>HLOOKUP(SUBSTITUTE(CONCATENATE(SUBSTITUTE(SUBSTITUTE(A52,"歳","")," ",""),"_全体")," ",""),[2]データ貼り付けシート!$1:$2,2,FALSE)</f>
        <v>1361</v>
      </c>
      <c r="E52" s="18"/>
    </row>
    <row r="53" spans="1:5" ht="12.75" customHeight="1" x14ac:dyDescent="0.4">
      <c r="A53" s="19" t="s">
        <v>54</v>
      </c>
      <c r="B53" s="20">
        <f>HLOOKUP(SUBSTITUTE(CONCATENATE(SUBSTITUTE(SUBSTITUTE(A53,"歳","")," ",""),"_男")," ",""),[2]データ貼り付けシート!$1:$2,2,FALSE)</f>
        <v>681</v>
      </c>
      <c r="C53" s="20">
        <f>HLOOKUP(SUBSTITUTE(CONCATENATE(SUBSTITUTE(SUBSTITUTE(A53,"歳","")," ",""),"_女")," ",""),[2]データ貼り付けシート!$1:$2,2,FALSE)</f>
        <v>626</v>
      </c>
      <c r="D53" s="20">
        <f>HLOOKUP(SUBSTITUTE(CONCATENATE(SUBSTITUTE(SUBSTITUTE(A53,"歳","")," ",""),"_全体")," ",""),[2]データ貼り付けシート!$1:$2,2,FALSE)</f>
        <v>1307</v>
      </c>
      <c r="E53" s="18"/>
    </row>
    <row r="54" spans="1:5" ht="12.75" customHeight="1" x14ac:dyDescent="0.4">
      <c r="A54" s="19" t="s">
        <v>55</v>
      </c>
      <c r="B54" s="20">
        <f>HLOOKUP(SUBSTITUTE(CONCATENATE(SUBSTITUTE(SUBSTITUTE(A54,"歳","")," ",""),"_男")," ",""),[2]データ貼り付けシート!$1:$2,2,FALSE)</f>
        <v>678</v>
      </c>
      <c r="C54" s="20">
        <f>HLOOKUP(SUBSTITUTE(CONCATENATE(SUBSTITUTE(SUBSTITUTE(A54,"歳","")," ",""),"_女")," ",""),[2]データ貼り付けシート!$1:$2,2,FALSE)</f>
        <v>609</v>
      </c>
      <c r="D54" s="20">
        <f>HLOOKUP(SUBSTITUTE(CONCATENATE(SUBSTITUTE(SUBSTITUTE(A54,"歳","")," ",""),"_全体")," ",""),[2]データ貼り付けシート!$1:$2,2,FALSE)</f>
        <v>1287</v>
      </c>
      <c r="E54" s="18"/>
    </row>
    <row r="55" spans="1:5" ht="12.75" customHeight="1" x14ac:dyDescent="0.4">
      <c r="A55" s="19" t="s">
        <v>56</v>
      </c>
      <c r="B55" s="20">
        <f>HLOOKUP(SUBSTITUTE(CONCATENATE(SUBSTITUTE(SUBSTITUTE(A55,"歳","")," ",""),"_男")," ",""),[2]データ貼り付けシート!$1:$2,2,FALSE)</f>
        <v>535</v>
      </c>
      <c r="C55" s="20">
        <f>HLOOKUP(SUBSTITUTE(CONCATENATE(SUBSTITUTE(SUBSTITUTE(A55,"歳","")," ",""),"_女")," ",""),[2]データ貼り付けシート!$1:$2,2,FALSE)</f>
        <v>436</v>
      </c>
      <c r="D55" s="20">
        <f>HLOOKUP(SUBSTITUTE(CONCATENATE(SUBSTITUTE(SUBSTITUTE(A55,"歳","")," ",""),"_全体")," ",""),[2]データ貼り付けシート!$1:$2,2,FALSE)</f>
        <v>971</v>
      </c>
      <c r="E55" s="18"/>
    </row>
    <row r="56" spans="1:5" ht="12.75" customHeight="1" x14ac:dyDescent="0.4">
      <c r="A56" s="19" t="s">
        <v>57</v>
      </c>
      <c r="B56" s="20">
        <f>HLOOKUP(SUBSTITUTE(CONCATENATE(SUBSTITUTE(SUBSTITUTE(A56,"歳","")," ",""),"_男")," ",""),[2]データ貼り付けシート!$1:$2,2,FALSE)</f>
        <v>585</v>
      </c>
      <c r="C56" s="20">
        <f>HLOOKUP(SUBSTITUTE(CONCATENATE(SUBSTITUTE(SUBSTITUTE(A56,"歳","")," ",""),"_女")," ",""),[2]データ貼り付けシート!$1:$2,2,FALSE)</f>
        <v>498</v>
      </c>
      <c r="D56" s="20">
        <f>HLOOKUP(SUBSTITUTE(CONCATENATE(SUBSTITUTE(SUBSTITUTE(A56,"歳","")," ",""),"_全体")," ",""),[2]データ貼り付けシート!$1:$2,2,FALSE)</f>
        <v>1083</v>
      </c>
      <c r="E56" s="18"/>
    </row>
    <row r="57" spans="1:5" ht="12.75" customHeight="1" x14ac:dyDescent="0.4">
      <c r="A57" s="19" t="s">
        <v>58</v>
      </c>
      <c r="B57" s="20">
        <f>HLOOKUP(SUBSTITUTE(CONCATENATE(SUBSTITUTE(SUBSTITUTE(A57,"歳","")," ",""),"_男")," ",""),[2]データ貼り付けシート!$1:$2,2,FALSE)</f>
        <v>507</v>
      </c>
      <c r="C57" s="20">
        <f>HLOOKUP(SUBSTITUTE(CONCATENATE(SUBSTITUTE(SUBSTITUTE(A57,"歳","")," ",""),"_女")," ",""),[2]データ貼り付けシート!$1:$2,2,FALSE)</f>
        <v>498</v>
      </c>
      <c r="D57" s="20">
        <f>HLOOKUP(SUBSTITUTE(CONCATENATE(SUBSTITUTE(SUBSTITUTE(A57,"歳","")," ",""),"_全体")," ",""),[2]データ貼り付けシート!$1:$2,2,FALSE)</f>
        <v>1005</v>
      </c>
      <c r="E57" s="18"/>
    </row>
    <row r="58" spans="1:5" ht="12.75" customHeight="1" x14ac:dyDescent="0.4">
      <c r="A58" s="19" t="s">
        <v>59</v>
      </c>
      <c r="B58" s="20">
        <f>HLOOKUP(SUBSTITUTE(CONCATENATE(SUBSTITUTE(SUBSTITUTE(A58,"歳","")," ",""),"_男")," ",""),[2]データ貼り付けシート!$1:$2,2,FALSE)</f>
        <v>488</v>
      </c>
      <c r="C58" s="20">
        <f>HLOOKUP(SUBSTITUTE(CONCATENATE(SUBSTITUTE(SUBSTITUTE(A58,"歳","")," ",""),"_女")," ",""),[2]データ貼り付けシート!$1:$2,2,FALSE)</f>
        <v>450</v>
      </c>
      <c r="D58" s="20">
        <f>HLOOKUP(SUBSTITUTE(CONCATENATE(SUBSTITUTE(SUBSTITUTE(A58,"歳","")," ",""),"_全体")," ",""),[2]データ貼り付けシート!$1:$2,2,FALSE)</f>
        <v>938</v>
      </c>
      <c r="E58" s="18"/>
    </row>
    <row r="59" spans="1:5" ht="12.75" customHeight="1" x14ac:dyDescent="0.4">
      <c r="A59" s="19" t="s">
        <v>60</v>
      </c>
      <c r="B59" s="20">
        <f>HLOOKUP(SUBSTITUTE(CONCATENATE(SUBSTITUTE(SUBSTITUTE(A59,"歳","")," ",""),"_男")," ",""),[2]データ貼り付けシート!$1:$2,2,FALSE)</f>
        <v>487</v>
      </c>
      <c r="C59" s="20">
        <f>HLOOKUP(SUBSTITUTE(CONCATENATE(SUBSTITUTE(SUBSTITUTE(A59,"歳","")," ",""),"_女")," ",""),[2]データ貼り付けシート!$1:$2,2,FALSE)</f>
        <v>453</v>
      </c>
      <c r="D59" s="20">
        <f>HLOOKUP(SUBSTITUTE(CONCATENATE(SUBSTITUTE(SUBSTITUTE(A59,"歳","")," ",""),"_全体")," ",""),[2]データ貼り付けシート!$1:$2,2,FALSE)</f>
        <v>940</v>
      </c>
      <c r="E59" s="18"/>
    </row>
    <row r="60" spans="1:5" ht="12.75" customHeight="1" x14ac:dyDescent="0.4">
      <c r="A60" s="19" t="s">
        <v>61</v>
      </c>
      <c r="B60" s="20">
        <f>HLOOKUP(SUBSTITUTE(CONCATENATE(SUBSTITUTE(SUBSTITUTE(A60,"歳","")," ",""),"_男")," ",""),[2]データ貼り付けシート!$1:$2,2,FALSE)</f>
        <v>452</v>
      </c>
      <c r="C60" s="20">
        <f>HLOOKUP(SUBSTITUTE(CONCATENATE(SUBSTITUTE(SUBSTITUTE(A60,"歳","")," ",""),"_女")," ",""),[2]データ貼り付けシート!$1:$2,2,FALSE)</f>
        <v>418</v>
      </c>
      <c r="D60" s="20">
        <f>HLOOKUP(SUBSTITUTE(CONCATENATE(SUBSTITUTE(SUBSTITUTE(A60,"歳","")," ",""),"_全体")," ",""),[2]データ貼り付けシート!$1:$2,2,FALSE)</f>
        <v>870</v>
      </c>
      <c r="E60" s="18"/>
    </row>
    <row r="61" spans="1:5" ht="12.75" customHeight="1" x14ac:dyDescent="0.4">
      <c r="A61" s="19" t="s">
        <v>62</v>
      </c>
      <c r="B61" s="20">
        <f>HLOOKUP(SUBSTITUTE(CONCATENATE(SUBSTITUTE(SUBSTITUTE(A61,"歳","")," ",""),"_男")," ",""),[2]データ貼り付けシート!$1:$2,2,FALSE)</f>
        <v>415</v>
      </c>
      <c r="C61" s="20">
        <f>HLOOKUP(SUBSTITUTE(CONCATENATE(SUBSTITUTE(SUBSTITUTE(A61,"歳","")," ",""),"_女")," ",""),[2]データ貼り付けシート!$1:$2,2,FALSE)</f>
        <v>377</v>
      </c>
      <c r="D61" s="20">
        <f>HLOOKUP(SUBSTITUTE(CONCATENATE(SUBSTITUTE(SUBSTITUTE(A61,"歳","")," ",""),"_全体")," ",""),[2]データ貼り付けシート!$1:$2,2,FALSE)</f>
        <v>792</v>
      </c>
      <c r="E61" s="18"/>
    </row>
    <row r="62" spans="1:5" ht="12.75" customHeight="1" x14ac:dyDescent="0.4">
      <c r="A62" s="19" t="s">
        <v>63</v>
      </c>
      <c r="B62" s="20">
        <f>HLOOKUP(SUBSTITUTE(CONCATENATE(SUBSTITUTE(SUBSTITUTE(A62,"歳","")," ",""),"_男")," ",""),[2]データ貼り付けシート!$1:$2,2,FALSE)</f>
        <v>415</v>
      </c>
      <c r="C62" s="20">
        <f>HLOOKUP(SUBSTITUTE(CONCATENATE(SUBSTITUTE(SUBSTITUTE(A62,"歳","")," ",""),"_女")," ",""),[2]データ貼り付けシート!$1:$2,2,FALSE)</f>
        <v>413</v>
      </c>
      <c r="D62" s="20">
        <f>HLOOKUP(SUBSTITUTE(CONCATENATE(SUBSTITUTE(SUBSTITUTE(A62,"歳","")," ",""),"_全体")," ",""),[2]データ貼り付けシート!$1:$2,2,FALSE)</f>
        <v>828</v>
      </c>
      <c r="E62" s="18"/>
    </row>
    <row r="63" spans="1:5" ht="12.75" customHeight="1" x14ac:dyDescent="0.4">
      <c r="A63" s="19" t="s">
        <v>64</v>
      </c>
      <c r="B63" s="20">
        <f>HLOOKUP(SUBSTITUTE(CONCATENATE(SUBSTITUTE(SUBSTITUTE(A63,"歳","")," ",""),"_男")," ",""),[2]データ貼り付けシート!$1:$2,2,FALSE)</f>
        <v>438</v>
      </c>
      <c r="C63" s="20">
        <f>HLOOKUP(SUBSTITUTE(CONCATENATE(SUBSTITUTE(SUBSTITUTE(A63,"歳","")," ",""),"_女")," ",""),[2]データ貼り付けシート!$1:$2,2,FALSE)</f>
        <v>414</v>
      </c>
      <c r="D63" s="20">
        <f>HLOOKUP(SUBSTITUTE(CONCATENATE(SUBSTITUTE(SUBSTITUTE(A63,"歳","")," ",""),"_全体")," ",""),[2]データ貼り付けシート!$1:$2,2,FALSE)</f>
        <v>852</v>
      </c>
      <c r="E63" s="18"/>
    </row>
    <row r="64" spans="1:5" ht="12.75" customHeight="1" x14ac:dyDescent="0.4">
      <c r="A64" s="19" t="s">
        <v>65</v>
      </c>
      <c r="B64" s="20">
        <f>HLOOKUP(SUBSTITUTE(CONCATENATE(SUBSTITUTE(SUBSTITUTE(A64,"歳","")," ",""),"_男")," ",""),[2]データ貼り付けシート!$1:$2,2,FALSE)</f>
        <v>411</v>
      </c>
      <c r="C64" s="20">
        <f>HLOOKUP(SUBSTITUTE(CONCATENATE(SUBSTITUTE(SUBSTITUTE(A64,"歳","")," ",""),"_女")," ",""),[2]データ貼り付けシート!$1:$2,2,FALSE)</f>
        <v>388</v>
      </c>
      <c r="D64" s="20">
        <f>HLOOKUP(SUBSTITUTE(CONCATENATE(SUBSTITUTE(SUBSTITUTE(A64,"歳","")," ",""),"_全体")," ",""),[2]データ貼り付けシート!$1:$2,2,FALSE)</f>
        <v>799</v>
      </c>
      <c r="E64" s="18"/>
    </row>
    <row r="65" spans="1:5" ht="12.75" customHeight="1" x14ac:dyDescent="0.4">
      <c r="A65" s="19" t="s">
        <v>66</v>
      </c>
      <c r="B65" s="20">
        <f>HLOOKUP(SUBSTITUTE(CONCATENATE(SUBSTITUTE(SUBSTITUTE(A65,"歳","")," ",""),"_男")," ",""),[2]データ貼り付けシート!$1:$2,2,FALSE)</f>
        <v>394</v>
      </c>
      <c r="C65" s="20">
        <f>HLOOKUP(SUBSTITUTE(CONCATENATE(SUBSTITUTE(SUBSTITUTE(A65,"歳","")," ",""),"_女")," ",""),[2]データ貼り付けシート!$1:$2,2,FALSE)</f>
        <v>407</v>
      </c>
      <c r="D65" s="20">
        <f>HLOOKUP(SUBSTITUTE(CONCATENATE(SUBSTITUTE(SUBSTITUTE(A65,"歳","")," ",""),"_全体")," ",""),[2]データ貼り付けシート!$1:$2,2,FALSE)</f>
        <v>801</v>
      </c>
      <c r="E65" s="18"/>
    </row>
    <row r="66" spans="1:5" ht="12.75" customHeight="1" x14ac:dyDescent="0.4">
      <c r="A66" s="19" t="s">
        <v>67</v>
      </c>
      <c r="B66" s="20">
        <f>HLOOKUP(SUBSTITUTE(CONCATENATE(SUBSTITUTE(SUBSTITUTE(A66,"歳","")," ",""),"_男")," ",""),[2]データ貼り付けシート!$1:$2,2,FALSE)</f>
        <v>432</v>
      </c>
      <c r="C66" s="20">
        <f>HLOOKUP(SUBSTITUTE(CONCATENATE(SUBSTITUTE(SUBSTITUTE(A66,"歳","")," ",""),"_女")," ",""),[2]データ貼り付けシート!$1:$2,2,FALSE)</f>
        <v>429</v>
      </c>
      <c r="D66" s="20">
        <f>HLOOKUP(SUBSTITUTE(CONCATENATE(SUBSTITUTE(SUBSTITUTE(A66,"歳","")," ",""),"_全体")," ",""),[2]データ貼り付けシート!$1:$2,2,FALSE)</f>
        <v>861</v>
      </c>
      <c r="E66" s="18"/>
    </row>
    <row r="67" spans="1:5" ht="12.75" customHeight="1" x14ac:dyDescent="0.4">
      <c r="A67" s="19" t="s">
        <v>68</v>
      </c>
      <c r="B67" s="20">
        <f>HLOOKUP(SUBSTITUTE(CONCATENATE(SUBSTITUTE(SUBSTITUTE(A67,"歳","")," ",""),"_男")," ",""),[2]データ貼り付けシート!$1:$2,2,FALSE)</f>
        <v>414</v>
      </c>
      <c r="C67" s="20">
        <f>HLOOKUP(SUBSTITUTE(CONCATENATE(SUBSTITUTE(SUBSTITUTE(A67,"歳","")," ",""),"_女")," ",""),[2]データ貼り付けシート!$1:$2,2,FALSE)</f>
        <v>448</v>
      </c>
      <c r="D67" s="20">
        <f>HLOOKUP(SUBSTITUTE(CONCATENATE(SUBSTITUTE(SUBSTITUTE(A67,"歳","")," ",""),"_全体")," ",""),[2]データ貼り付けシート!$1:$2,2,FALSE)</f>
        <v>862</v>
      </c>
      <c r="E67" s="18"/>
    </row>
    <row r="68" spans="1:5" ht="12.75" customHeight="1" x14ac:dyDescent="0.4">
      <c r="A68" s="19" t="s">
        <v>69</v>
      </c>
      <c r="B68" s="20">
        <f>HLOOKUP(SUBSTITUTE(CONCATENATE(SUBSTITUTE(SUBSTITUTE(A68,"歳","")," ",""),"_男")," ",""),[2]データ貼り付けシート!$1:$2,2,FALSE)</f>
        <v>421</v>
      </c>
      <c r="C68" s="20">
        <f>HLOOKUP(SUBSTITUTE(CONCATENATE(SUBSTITUTE(SUBSTITUTE(A68,"歳","")," ",""),"_女")," ",""),[2]データ貼り付けシート!$1:$2,2,FALSE)</f>
        <v>475</v>
      </c>
      <c r="D68" s="20">
        <f>HLOOKUP(SUBSTITUTE(CONCATENATE(SUBSTITUTE(SUBSTITUTE(A68,"歳","")," ",""),"_全体")," ",""),[2]データ貼り付けシート!$1:$2,2,FALSE)</f>
        <v>896</v>
      </c>
      <c r="E68" s="18"/>
    </row>
    <row r="69" spans="1:5" ht="12.75" customHeight="1" x14ac:dyDescent="0.4">
      <c r="A69" s="19" t="s">
        <v>70</v>
      </c>
      <c r="B69" s="20">
        <f>HLOOKUP(SUBSTITUTE(CONCATENATE(SUBSTITUTE(SUBSTITUTE(A69,"歳","")," ",""),"_男")," ",""),[2]データ貼り付けシート!$1:$2,2,FALSE)</f>
        <v>467</v>
      </c>
      <c r="C69" s="20">
        <f>HLOOKUP(SUBSTITUTE(CONCATENATE(SUBSTITUTE(SUBSTITUTE(A69,"歳","")," ",""),"_女")," ",""),[2]データ貼り付けシート!$1:$2,2,FALSE)</f>
        <v>505</v>
      </c>
      <c r="D69" s="20">
        <f>HLOOKUP(SUBSTITUTE(CONCATENATE(SUBSTITUTE(SUBSTITUTE(A69,"歳","")," ",""),"_全体")," ",""),[2]データ貼り付けシート!$1:$2,2,FALSE)</f>
        <v>972</v>
      </c>
      <c r="E69" s="18"/>
    </row>
    <row r="70" spans="1:5" ht="12.75" customHeight="1" x14ac:dyDescent="0.4">
      <c r="A70" s="19" t="s">
        <v>71</v>
      </c>
      <c r="B70" s="20">
        <f>HLOOKUP(SUBSTITUTE(CONCATENATE(SUBSTITUTE(SUBSTITUTE(A70,"歳","")," ",""),"_男")," ",""),[2]データ貼り付けシート!$1:$2,2,FALSE)</f>
        <v>508</v>
      </c>
      <c r="C70" s="20">
        <f>HLOOKUP(SUBSTITUTE(CONCATENATE(SUBSTITUTE(SUBSTITUTE(A70,"歳","")," ",""),"_女")," ",""),[2]データ貼り付けシート!$1:$2,2,FALSE)</f>
        <v>559</v>
      </c>
      <c r="D70" s="20">
        <f>HLOOKUP(SUBSTITUTE(CONCATENATE(SUBSTITUTE(SUBSTITUTE(A70,"歳","")," ",""),"_全体")," ",""),[2]データ貼り付けシート!$1:$2,2,FALSE)</f>
        <v>1067</v>
      </c>
      <c r="E70" s="18"/>
    </row>
    <row r="71" spans="1:5" ht="12.75" customHeight="1" x14ac:dyDescent="0.4">
      <c r="A71" s="19" t="s">
        <v>72</v>
      </c>
      <c r="B71" s="20">
        <f>HLOOKUP(SUBSTITUTE(CONCATENATE(SUBSTITUTE(SUBSTITUTE(A71,"歳","")," ",""),"_男")," ",""),[2]データ貼り付けシート!$1:$2,2,FALSE)</f>
        <v>572</v>
      </c>
      <c r="C71" s="20">
        <f>HLOOKUP(SUBSTITUTE(CONCATENATE(SUBSTITUTE(SUBSTITUTE(A71,"歳","")," ",""),"_女")," ",""),[2]データ貼り付けシート!$1:$2,2,FALSE)</f>
        <v>634</v>
      </c>
      <c r="D71" s="20">
        <f>HLOOKUP(SUBSTITUTE(CONCATENATE(SUBSTITUTE(SUBSTITUTE(A71,"歳","")," ",""),"_全体")," ",""),[2]データ貼り付けシート!$1:$2,2,FALSE)</f>
        <v>1206</v>
      </c>
      <c r="E71" s="18"/>
    </row>
    <row r="72" spans="1:5" ht="12.75" customHeight="1" x14ac:dyDescent="0.4">
      <c r="A72" s="19" t="s">
        <v>73</v>
      </c>
      <c r="B72" s="20">
        <f>HLOOKUP(SUBSTITUTE(CONCATENATE(SUBSTITUTE(SUBSTITUTE(A72,"歳","")," ",""),"_男")," ",""),[2]データ貼り付けシート!$1:$2,2,FALSE)</f>
        <v>645</v>
      </c>
      <c r="C72" s="20">
        <f>HLOOKUP(SUBSTITUTE(CONCATENATE(SUBSTITUTE(SUBSTITUTE(A72,"歳","")," ",""),"_女")," ",""),[2]データ貼り付けシート!$1:$2,2,FALSE)</f>
        <v>740</v>
      </c>
      <c r="D72" s="20">
        <f>HLOOKUP(SUBSTITUTE(CONCATENATE(SUBSTITUTE(SUBSTITUTE(A72,"歳","")," ",""),"_全体")," ",""),[2]データ貼り付けシート!$1:$2,2,FALSE)</f>
        <v>1385</v>
      </c>
      <c r="E72" s="18"/>
    </row>
    <row r="73" spans="1:5" ht="12.75" customHeight="1" x14ac:dyDescent="0.4">
      <c r="A73" s="19" t="s">
        <v>74</v>
      </c>
      <c r="B73" s="20">
        <f>HLOOKUP(SUBSTITUTE(CONCATENATE(SUBSTITUTE(SUBSTITUTE(A73,"歳","")," ",""),"_男")," ",""),[2]データ貼り付けシート!$1:$2,2,FALSE)</f>
        <v>652</v>
      </c>
      <c r="C73" s="20">
        <f>HLOOKUP(SUBSTITUTE(CONCATENATE(SUBSTITUTE(SUBSTITUTE(A73,"歳","")," ",""),"_女")," ",""),[2]データ貼り付けシート!$1:$2,2,FALSE)</f>
        <v>801</v>
      </c>
      <c r="D73" s="20">
        <f>HLOOKUP(SUBSTITUTE(CONCATENATE(SUBSTITUTE(SUBSTITUTE(A73,"歳","")," ",""),"_全体")," ",""),[2]データ貼り付けシート!$1:$2,2,FALSE)</f>
        <v>1453</v>
      </c>
      <c r="E73" s="18"/>
    </row>
    <row r="74" spans="1:5" ht="12.75" customHeight="1" x14ac:dyDescent="0.4">
      <c r="A74" s="19" t="s">
        <v>75</v>
      </c>
      <c r="B74" s="20">
        <f>HLOOKUP(SUBSTITUTE(CONCATENATE(SUBSTITUTE(SUBSTITUTE(A74,"歳","")," ",""),"_男")," ",""),[2]データ貼り付けシート!$1:$2,2,FALSE)</f>
        <v>708</v>
      </c>
      <c r="C74" s="20">
        <f>HLOOKUP(SUBSTITUTE(CONCATENATE(SUBSTITUTE(SUBSTITUTE(A74,"歳","")," ",""),"_女")," ",""),[2]データ貼り付けシート!$1:$2,2,FALSE)</f>
        <v>766</v>
      </c>
      <c r="D74" s="20">
        <f>HLOOKUP(SUBSTITUTE(CONCATENATE(SUBSTITUTE(SUBSTITUTE(A74,"歳","")," ",""),"_全体")," ",""),[2]データ貼り付けシート!$1:$2,2,FALSE)</f>
        <v>1474</v>
      </c>
      <c r="E74" s="18"/>
    </row>
    <row r="75" spans="1:5" ht="12.75" customHeight="1" x14ac:dyDescent="0.4">
      <c r="A75" s="19" t="s">
        <v>76</v>
      </c>
      <c r="B75" s="20">
        <f>HLOOKUP(SUBSTITUTE(CONCATENATE(SUBSTITUTE(SUBSTITUTE(A75,"歳","")," ",""),"_男")," ",""),[2]データ貼り付けシート!$1:$2,2,FALSE)</f>
        <v>485</v>
      </c>
      <c r="C75" s="20">
        <f>HLOOKUP(SUBSTITUTE(CONCATENATE(SUBSTITUTE(SUBSTITUTE(A75,"歳","")," ",""),"_女")," ",""),[2]データ貼り付けシート!$1:$2,2,FALSE)</f>
        <v>562</v>
      </c>
      <c r="D75" s="20">
        <f>HLOOKUP(SUBSTITUTE(CONCATENATE(SUBSTITUTE(SUBSTITUTE(A75,"歳","")," ",""),"_全体")," ",""),[2]データ貼り付けシート!$1:$2,2,FALSE)</f>
        <v>1047</v>
      </c>
      <c r="E75" s="18"/>
    </row>
    <row r="76" spans="1:5" ht="12.75" customHeight="1" x14ac:dyDescent="0.4">
      <c r="A76" s="19" t="s">
        <v>77</v>
      </c>
      <c r="B76" s="20">
        <f>HLOOKUP(SUBSTITUTE(CONCATENATE(SUBSTITUTE(SUBSTITUTE(A76,"歳","")," ",""),"_男")," ",""),[2]データ貼り付けシート!$1:$2,2,FALSE)</f>
        <v>365</v>
      </c>
      <c r="C76" s="20">
        <f>HLOOKUP(SUBSTITUTE(CONCATENATE(SUBSTITUTE(SUBSTITUTE(A76,"歳","")," ",""),"_女")," ",""),[2]データ貼り付けシート!$1:$2,2,FALSE)</f>
        <v>464</v>
      </c>
      <c r="D76" s="20">
        <f>HLOOKUP(SUBSTITUTE(CONCATENATE(SUBSTITUTE(SUBSTITUTE(A76,"歳","")," ",""),"_全体")," ",""),[2]データ貼り付けシート!$1:$2,2,FALSE)</f>
        <v>829</v>
      </c>
      <c r="E76" s="18"/>
    </row>
    <row r="77" spans="1:5" ht="12.75" customHeight="1" x14ac:dyDescent="0.4">
      <c r="A77" s="19" t="s">
        <v>78</v>
      </c>
      <c r="B77" s="20">
        <f>HLOOKUP(SUBSTITUTE(CONCATENATE(SUBSTITUTE(SUBSTITUTE(A77,"歳","")," ",""),"_男")," ",""),[2]データ貼り付けシート!$1:$2,2,FALSE)</f>
        <v>476</v>
      </c>
      <c r="C77" s="20">
        <f>HLOOKUP(SUBSTITUTE(CONCATENATE(SUBSTITUTE(SUBSTITUTE(A77,"歳","")," ",""),"_女")," ",""),[2]データ貼り付けシート!$1:$2,2,FALSE)</f>
        <v>576</v>
      </c>
      <c r="D77" s="20">
        <f>HLOOKUP(SUBSTITUTE(CONCATENATE(SUBSTITUTE(SUBSTITUTE(A77,"歳","")," ",""),"_全体")," ",""),[2]データ貼り付けシート!$1:$2,2,FALSE)</f>
        <v>1052</v>
      </c>
      <c r="E77" s="18"/>
    </row>
    <row r="78" spans="1:5" ht="12.75" customHeight="1" x14ac:dyDescent="0.4">
      <c r="A78" s="19" t="s">
        <v>79</v>
      </c>
      <c r="B78" s="20">
        <f>HLOOKUP(SUBSTITUTE(CONCATENATE(SUBSTITUTE(SUBSTITUTE(A78,"歳","")," ",""),"_男")," ",""),[2]データ貼り付けシート!$1:$2,2,FALSE)</f>
        <v>533</v>
      </c>
      <c r="C78" s="20">
        <f>HLOOKUP(SUBSTITUTE(CONCATENATE(SUBSTITUTE(SUBSTITUTE(A78,"歳","")," ",""),"_女")," ",""),[2]データ貼り付けシート!$1:$2,2,FALSE)</f>
        <v>617</v>
      </c>
      <c r="D78" s="20">
        <f>HLOOKUP(SUBSTITUTE(CONCATENATE(SUBSTITUTE(SUBSTITUTE(A78,"歳","")," ",""),"_全体")," ",""),[2]データ貼り付けシート!$1:$2,2,FALSE)</f>
        <v>1150</v>
      </c>
      <c r="E78" s="18"/>
    </row>
    <row r="79" spans="1:5" ht="12.75" customHeight="1" x14ac:dyDescent="0.4">
      <c r="A79" s="19" t="s">
        <v>80</v>
      </c>
      <c r="B79" s="20">
        <f>HLOOKUP(SUBSTITUTE(CONCATENATE(SUBSTITUTE(SUBSTITUTE(A79,"歳","")," ",""),"_男")," ",""),[2]データ貼り付けシート!$1:$2,2,FALSE)</f>
        <v>480</v>
      </c>
      <c r="C79" s="20">
        <f>HLOOKUP(SUBSTITUTE(CONCATENATE(SUBSTITUTE(SUBSTITUTE(A79,"歳","")," ",""),"_女")," ",""),[2]データ貼り付けシート!$1:$2,2,FALSE)</f>
        <v>640</v>
      </c>
      <c r="D79" s="20">
        <f>HLOOKUP(SUBSTITUTE(CONCATENATE(SUBSTITUTE(SUBSTITUTE(A79,"歳","")," ",""),"_全体")," ",""),[2]データ貼り付けシート!$1:$2,2,FALSE)</f>
        <v>1120</v>
      </c>
      <c r="E79" s="18"/>
    </row>
    <row r="80" spans="1:5" ht="12.75" customHeight="1" x14ac:dyDescent="0.4">
      <c r="A80" s="19" t="s">
        <v>81</v>
      </c>
      <c r="B80" s="20">
        <f>HLOOKUP(SUBSTITUTE(CONCATENATE(SUBSTITUTE(SUBSTITUTE(A80,"歳","")," ",""),"_男")," ",""),[2]データ貼り付けシート!$1:$2,2,FALSE)</f>
        <v>531</v>
      </c>
      <c r="C80" s="20">
        <f>HLOOKUP(SUBSTITUTE(CONCATENATE(SUBSTITUTE(SUBSTITUTE(A80,"歳","")," ",""),"_女")," ",""),[2]データ貼り付けシート!$1:$2,2,FALSE)</f>
        <v>598</v>
      </c>
      <c r="D80" s="20">
        <f>HLOOKUP(SUBSTITUTE(CONCATENATE(SUBSTITUTE(SUBSTITUTE(A80,"歳","")," ",""),"_全体")," ",""),[2]データ貼り付けシート!$1:$2,2,FALSE)</f>
        <v>1129</v>
      </c>
      <c r="E80" s="18"/>
    </row>
    <row r="81" spans="1:5" ht="12.75" customHeight="1" x14ac:dyDescent="0.4">
      <c r="A81" s="19" t="s">
        <v>82</v>
      </c>
      <c r="B81" s="20">
        <f>HLOOKUP(SUBSTITUTE(CONCATENATE(SUBSTITUTE(SUBSTITUTE(A81,"歳","")," ",""),"_男")," ",""),[2]データ貼り付けシート!$1:$2,2,FALSE)</f>
        <v>445</v>
      </c>
      <c r="C81" s="20">
        <f>HLOOKUP(SUBSTITUTE(CONCATENATE(SUBSTITUTE(SUBSTITUTE(A81,"歳","")," ",""),"_女")," ",""),[2]データ貼り付けシート!$1:$2,2,FALSE)</f>
        <v>548</v>
      </c>
      <c r="D81" s="20">
        <f>HLOOKUP(SUBSTITUTE(CONCATENATE(SUBSTITUTE(SUBSTITUTE(A81,"歳","")," ",""),"_全体")," ",""),[2]データ貼り付けシート!$1:$2,2,FALSE)</f>
        <v>993</v>
      </c>
      <c r="E81" s="18"/>
    </row>
    <row r="82" spans="1:5" ht="12.75" customHeight="1" x14ac:dyDescent="0.4">
      <c r="A82" s="19" t="s">
        <v>83</v>
      </c>
      <c r="B82" s="20">
        <f>HLOOKUP(SUBSTITUTE(CONCATENATE(SUBSTITUTE(SUBSTITUTE(A82,"歳","")," ",""),"_男")," ",""),[2]データ貼り付けシート!$1:$2,2,FALSE)</f>
        <v>369</v>
      </c>
      <c r="C82" s="20">
        <f>HLOOKUP(SUBSTITUTE(CONCATENATE(SUBSTITUTE(SUBSTITUTE(A82,"歳","")," ",""),"_女")," ",""),[2]データ貼り付けシート!$1:$2,2,FALSE)</f>
        <v>418</v>
      </c>
      <c r="D82" s="20">
        <f>HLOOKUP(SUBSTITUTE(CONCATENATE(SUBSTITUTE(SUBSTITUTE(A82,"歳","")," ",""),"_全体")," ",""),[2]データ貼り付けシート!$1:$2,2,FALSE)</f>
        <v>787</v>
      </c>
      <c r="E82" s="18"/>
    </row>
    <row r="83" spans="1:5" ht="12.75" customHeight="1" x14ac:dyDescent="0.4">
      <c r="A83" s="19" t="s">
        <v>84</v>
      </c>
      <c r="B83" s="20">
        <f>HLOOKUP(SUBSTITUTE(CONCATENATE(SUBSTITUTE(SUBSTITUTE(A83,"歳","")," ",""),"_男")," ",""),[2]データ貼り付けシート!$1:$2,2,FALSE)</f>
        <v>319</v>
      </c>
      <c r="C83" s="20">
        <f>HLOOKUP(SUBSTITUTE(CONCATENATE(SUBSTITUTE(SUBSTITUTE(A83,"歳","")," ",""),"_女")," ",""),[2]データ貼り付けシート!$1:$2,2,FALSE)</f>
        <v>379</v>
      </c>
      <c r="D83" s="20">
        <f>HLOOKUP(SUBSTITUTE(CONCATENATE(SUBSTITUTE(SUBSTITUTE(A83,"歳","")," ",""),"_全体")," ",""),[2]データ貼り付けシート!$1:$2,2,FALSE)</f>
        <v>698</v>
      </c>
      <c r="E83" s="18"/>
    </row>
    <row r="84" spans="1:5" ht="12.75" customHeight="1" x14ac:dyDescent="0.4">
      <c r="A84" s="19" t="s">
        <v>85</v>
      </c>
      <c r="B84" s="20">
        <f>HLOOKUP(SUBSTITUTE(CONCATENATE(SUBSTITUTE(SUBSTITUTE(A84,"歳","")," ",""),"_男")," ",""),[2]データ貼り付けシート!$1:$2,2,FALSE)</f>
        <v>335</v>
      </c>
      <c r="C84" s="20">
        <f>HLOOKUP(SUBSTITUTE(CONCATENATE(SUBSTITUTE(SUBSTITUTE(A84,"歳","")," ",""),"_女")," ",""),[2]データ貼り付けシート!$1:$2,2,FALSE)</f>
        <v>375</v>
      </c>
      <c r="D84" s="20">
        <f>HLOOKUP(SUBSTITUTE(CONCATENATE(SUBSTITUTE(SUBSTITUTE(A84,"歳","")," ",""),"_全体")," ",""),[2]データ貼り付けシート!$1:$2,2,FALSE)</f>
        <v>710</v>
      </c>
      <c r="E84" s="18"/>
    </row>
    <row r="85" spans="1:5" ht="12.75" customHeight="1" x14ac:dyDescent="0.4">
      <c r="A85" s="19" t="s">
        <v>86</v>
      </c>
      <c r="B85" s="20">
        <f>HLOOKUP(SUBSTITUTE(CONCATENATE(SUBSTITUTE(SUBSTITUTE(A85,"歳","")," ",""),"_男")," ",""),[2]データ貼り付けシート!$1:$2,2,FALSE)</f>
        <v>274</v>
      </c>
      <c r="C85" s="20">
        <f>HLOOKUP(SUBSTITUTE(CONCATENATE(SUBSTITUTE(SUBSTITUTE(A85,"歳","")," ",""),"_女")," ",""),[2]データ貼り付けシート!$1:$2,2,FALSE)</f>
        <v>340</v>
      </c>
      <c r="D85" s="20">
        <f>HLOOKUP(SUBSTITUTE(CONCATENATE(SUBSTITUTE(SUBSTITUTE(A85,"歳","")," ",""),"_全体")," ",""),[2]データ貼り付けシート!$1:$2,2,FALSE)</f>
        <v>614</v>
      </c>
      <c r="E85" s="18"/>
    </row>
    <row r="86" spans="1:5" ht="12.75" customHeight="1" x14ac:dyDescent="0.4">
      <c r="A86" s="19" t="s">
        <v>87</v>
      </c>
      <c r="B86" s="20">
        <f>HLOOKUP(SUBSTITUTE(CONCATENATE(SUBSTITUTE(SUBSTITUTE(A86,"歳","")," ",""),"_男")," ",""),[2]データ貼り付けシート!$1:$2,2,FALSE)</f>
        <v>261</v>
      </c>
      <c r="C86" s="20">
        <f>HLOOKUP(SUBSTITUTE(CONCATENATE(SUBSTITUTE(SUBSTITUTE(A86,"歳","")," ",""),"_女")," ",""),[2]データ貼り付けシート!$1:$2,2,FALSE)</f>
        <v>318</v>
      </c>
      <c r="D86" s="20">
        <f>HLOOKUP(SUBSTITUTE(CONCATENATE(SUBSTITUTE(SUBSTITUTE(A86,"歳","")," ",""),"_全体")," ",""),[2]データ貼り付けシート!$1:$2,2,FALSE)</f>
        <v>579</v>
      </c>
      <c r="E86" s="18"/>
    </row>
    <row r="87" spans="1:5" ht="12.75" customHeight="1" x14ac:dyDescent="0.4">
      <c r="A87" s="19" t="s">
        <v>88</v>
      </c>
      <c r="B87" s="20">
        <f>HLOOKUP(SUBSTITUTE(CONCATENATE(SUBSTITUTE(SUBSTITUTE(A87,"歳","")," ",""),"_男")," ",""),[2]データ貼り付けシート!$1:$2,2,FALSE)</f>
        <v>184</v>
      </c>
      <c r="C87" s="20">
        <f>HLOOKUP(SUBSTITUTE(CONCATENATE(SUBSTITUTE(SUBSTITUTE(A87,"歳","")," ",""),"_女")," ",""),[2]データ貼り付けシート!$1:$2,2,FALSE)</f>
        <v>285</v>
      </c>
      <c r="D87" s="20">
        <f>HLOOKUP(SUBSTITUTE(CONCATENATE(SUBSTITUTE(SUBSTITUTE(A87,"歳","")," ",""),"_全体")," ",""),[2]データ貼り付けシート!$1:$2,2,FALSE)</f>
        <v>469</v>
      </c>
      <c r="E87" s="18"/>
    </row>
    <row r="88" spans="1:5" ht="12.75" customHeight="1" x14ac:dyDescent="0.4">
      <c r="A88" s="19" t="s">
        <v>89</v>
      </c>
      <c r="B88" s="20">
        <f>HLOOKUP(SUBSTITUTE(CONCATENATE(SUBSTITUTE(SUBSTITUTE(A88,"歳","")," ",""),"_男")," ",""),[2]データ貼り付けシート!$1:$2,2,FALSE)</f>
        <v>142</v>
      </c>
      <c r="C88" s="20">
        <f>HLOOKUP(SUBSTITUTE(CONCATENATE(SUBSTITUTE(SUBSTITUTE(A88,"歳","")," ",""),"_女")," ",""),[2]データ貼り付けシート!$1:$2,2,FALSE)</f>
        <v>273</v>
      </c>
      <c r="D88" s="20">
        <f>HLOOKUP(SUBSTITUTE(CONCATENATE(SUBSTITUTE(SUBSTITUTE(A88,"歳","")," ",""),"_全体")," ",""),[2]データ貼り付けシート!$1:$2,2,FALSE)</f>
        <v>415</v>
      </c>
      <c r="E88" s="18"/>
    </row>
    <row r="89" spans="1:5" ht="12.75" customHeight="1" x14ac:dyDescent="0.4">
      <c r="A89" s="19" t="s">
        <v>90</v>
      </c>
      <c r="B89" s="20">
        <f>HLOOKUP(SUBSTITUTE(CONCATENATE(SUBSTITUTE(SUBSTITUTE(A89,"歳","")," ",""),"_男")," ",""),[2]データ貼り付けシート!$1:$2,2,FALSE)</f>
        <v>144</v>
      </c>
      <c r="C89" s="20">
        <f>HLOOKUP(SUBSTITUTE(CONCATENATE(SUBSTITUTE(SUBSTITUTE(A89,"歳","")," ",""),"_女")," ",""),[2]データ貼り付けシート!$1:$2,2,FALSE)</f>
        <v>218</v>
      </c>
      <c r="D89" s="20">
        <f>HLOOKUP(SUBSTITUTE(CONCATENATE(SUBSTITUTE(SUBSTITUTE(A89,"歳","")," ",""),"_全体")," ",""),[2]データ貼り付けシート!$1:$2,2,FALSE)</f>
        <v>362</v>
      </c>
      <c r="E89" s="18"/>
    </row>
    <row r="90" spans="1:5" ht="12.75" customHeight="1" x14ac:dyDescent="0.4">
      <c r="A90" s="19" t="s">
        <v>91</v>
      </c>
      <c r="B90" s="20">
        <f>HLOOKUP(SUBSTITUTE(CONCATENATE(SUBSTITUTE(SUBSTITUTE(A90,"歳","")," ",""),"_男")," ",""),[2]データ貼り付けシート!$1:$2,2,FALSE)</f>
        <v>113</v>
      </c>
      <c r="C90" s="20">
        <f>HLOOKUP(SUBSTITUTE(CONCATENATE(SUBSTITUTE(SUBSTITUTE(A90,"歳","")," ",""),"_女")," ",""),[2]データ貼り付けシート!$1:$2,2,FALSE)</f>
        <v>188</v>
      </c>
      <c r="D90" s="20">
        <f>HLOOKUP(SUBSTITUTE(CONCATENATE(SUBSTITUTE(SUBSTITUTE(A90,"歳","")," ",""),"_全体")," ",""),[2]データ貼り付けシート!$1:$2,2,FALSE)</f>
        <v>301</v>
      </c>
      <c r="E90" s="18"/>
    </row>
    <row r="91" spans="1:5" ht="12.75" customHeight="1" x14ac:dyDescent="0.4">
      <c r="A91" s="19" t="s">
        <v>92</v>
      </c>
      <c r="B91" s="20">
        <f>HLOOKUP(SUBSTITUTE(CONCATENATE(SUBSTITUTE(SUBSTITUTE(A91,"歳","")," ",""),"_男")," ",""),[2]データ貼り付けシート!$1:$2,2,FALSE)</f>
        <v>88</v>
      </c>
      <c r="C91" s="20">
        <f>HLOOKUP(SUBSTITUTE(CONCATENATE(SUBSTITUTE(SUBSTITUTE(A91,"歳","")," ",""),"_女")," ",""),[2]データ貼り付けシート!$1:$2,2,FALSE)</f>
        <v>153</v>
      </c>
      <c r="D91" s="20">
        <f>HLOOKUP(SUBSTITUTE(CONCATENATE(SUBSTITUTE(SUBSTITUTE(A91,"歳","")," ",""),"_全体")," ",""),[2]データ貼り付けシート!$1:$2,2,FALSE)</f>
        <v>241</v>
      </c>
      <c r="E91" s="18"/>
    </row>
    <row r="92" spans="1:5" ht="12.75" customHeight="1" x14ac:dyDescent="0.4">
      <c r="A92" s="19" t="s">
        <v>93</v>
      </c>
      <c r="B92" s="20">
        <f>HLOOKUP(SUBSTITUTE(CONCATENATE(SUBSTITUTE(SUBSTITUTE(A92,"歳","")," ",""),"_男")," ",""),[2]データ貼り付けシート!$1:$2,2,FALSE)</f>
        <v>53</v>
      </c>
      <c r="C92" s="20">
        <f>HLOOKUP(SUBSTITUTE(CONCATENATE(SUBSTITUTE(SUBSTITUTE(A92,"歳","")," ",""),"_女")," ",""),[2]データ貼り付けシート!$1:$2,2,FALSE)</f>
        <v>167</v>
      </c>
      <c r="D92" s="20">
        <f>HLOOKUP(SUBSTITUTE(CONCATENATE(SUBSTITUTE(SUBSTITUTE(A92,"歳","")," ",""),"_全体")," ",""),[2]データ貼り付けシート!$1:$2,2,FALSE)</f>
        <v>220</v>
      </c>
      <c r="E92" s="18"/>
    </row>
    <row r="93" spans="1:5" ht="12.75" customHeight="1" x14ac:dyDescent="0.4">
      <c r="A93" s="19" t="s">
        <v>94</v>
      </c>
      <c r="B93" s="20">
        <f>HLOOKUP(SUBSTITUTE(CONCATENATE(SUBSTITUTE(SUBSTITUTE(A93,"歳","")," ",""),"_男")," ",""),[2]データ貼り付けシート!$1:$2,2,FALSE)</f>
        <v>58</v>
      </c>
      <c r="C93" s="20">
        <f>HLOOKUP(SUBSTITUTE(CONCATENATE(SUBSTITUTE(SUBSTITUTE(A93,"歳","")," ",""),"_女")," ",""),[2]データ貼り付けシート!$1:$2,2,FALSE)</f>
        <v>138</v>
      </c>
      <c r="D93" s="20">
        <f>HLOOKUP(SUBSTITUTE(CONCATENATE(SUBSTITUTE(SUBSTITUTE(A93,"歳","")," ",""),"_全体")," ",""),[2]データ貼り付けシート!$1:$2,2,FALSE)</f>
        <v>196</v>
      </c>
      <c r="E93" s="18"/>
    </row>
    <row r="94" spans="1:5" ht="12.75" customHeight="1" x14ac:dyDescent="0.4">
      <c r="A94" s="19" t="s">
        <v>95</v>
      </c>
      <c r="B94" s="20">
        <f>HLOOKUP(SUBSTITUTE(CONCATENATE(SUBSTITUTE(SUBSTITUTE(A94,"歳","")," ",""),"_男")," ",""),[2]データ貼り付けシート!$1:$2,2,FALSE)</f>
        <v>37</v>
      </c>
      <c r="C94" s="20">
        <f>HLOOKUP(SUBSTITUTE(CONCATENATE(SUBSTITUTE(SUBSTITUTE(A94,"歳","")," ",""),"_女")," ",""),[2]データ貼り付けシート!$1:$2,2,FALSE)</f>
        <v>111</v>
      </c>
      <c r="D94" s="20">
        <f>HLOOKUP(SUBSTITUTE(CONCATENATE(SUBSTITUTE(SUBSTITUTE(A94,"歳","")," ",""),"_全体")," ",""),[2]データ貼り付けシート!$1:$2,2,FALSE)</f>
        <v>148</v>
      </c>
      <c r="E94" s="18"/>
    </row>
    <row r="95" spans="1:5" ht="12.75" customHeight="1" x14ac:dyDescent="0.4">
      <c r="A95" s="19" t="s">
        <v>96</v>
      </c>
      <c r="B95" s="20">
        <f>HLOOKUP(SUBSTITUTE(CONCATENATE(SUBSTITUTE(SUBSTITUTE(A95,"歳","")," ",""),"_男")," ",""),[2]データ貼り付けシート!$1:$2,2,FALSE)</f>
        <v>33</v>
      </c>
      <c r="C95" s="20">
        <f>HLOOKUP(SUBSTITUTE(CONCATENATE(SUBSTITUTE(SUBSTITUTE(A95,"歳","")," ",""),"_女")," ",""),[2]データ貼り付けシート!$1:$2,2,FALSE)</f>
        <v>93</v>
      </c>
      <c r="D95" s="20">
        <f>HLOOKUP(SUBSTITUTE(CONCATENATE(SUBSTITUTE(SUBSTITUTE(A95,"歳","")," ",""),"_全体")," ",""),[2]データ貼り付けシート!$1:$2,2,FALSE)</f>
        <v>126</v>
      </c>
      <c r="E95" s="18"/>
    </row>
    <row r="96" spans="1:5" ht="12.75" customHeight="1" x14ac:dyDescent="0.4">
      <c r="A96" s="19" t="s">
        <v>97</v>
      </c>
      <c r="B96" s="20">
        <f>HLOOKUP(SUBSTITUTE(CONCATENATE(SUBSTITUTE(SUBSTITUTE(A96,"歳","")," ",""),"_男")," ",""),[2]データ貼り付けシート!$1:$2,2,FALSE)</f>
        <v>29</v>
      </c>
      <c r="C96" s="20">
        <f>HLOOKUP(SUBSTITUTE(CONCATENATE(SUBSTITUTE(SUBSTITUTE(A96,"歳","")," ",""),"_女")," ",""),[2]データ貼り付けシート!$1:$2,2,FALSE)</f>
        <v>68</v>
      </c>
      <c r="D96" s="20">
        <f>HLOOKUP(SUBSTITUTE(CONCATENATE(SUBSTITUTE(SUBSTITUTE(A96,"歳","")," ",""),"_全体")," ",""),[2]データ貼り付けシート!$1:$2,2,FALSE)</f>
        <v>97</v>
      </c>
      <c r="E96" s="18"/>
    </row>
    <row r="97" spans="1:5" ht="12.75" customHeight="1" x14ac:dyDescent="0.4">
      <c r="A97" s="19" t="s">
        <v>98</v>
      </c>
      <c r="B97" s="20">
        <f>HLOOKUP(SUBSTITUTE(CONCATENATE(SUBSTITUTE(SUBSTITUTE(A97,"歳","")," ",""),"_男")," ",""),[2]データ貼り付けシート!$1:$2,2,FALSE)</f>
        <v>10</v>
      </c>
      <c r="C97" s="20">
        <f>HLOOKUP(SUBSTITUTE(CONCATENATE(SUBSTITUTE(SUBSTITUTE(A97,"歳","")," ",""),"_女")," ",""),[2]データ貼り付けシート!$1:$2,2,FALSE)</f>
        <v>64</v>
      </c>
      <c r="D97" s="20">
        <f>HLOOKUP(SUBSTITUTE(CONCATENATE(SUBSTITUTE(SUBSTITUTE(A97,"歳","")," ",""),"_全体")," ",""),[2]データ貼り付けシート!$1:$2,2,FALSE)</f>
        <v>74</v>
      </c>
      <c r="E97" s="18"/>
    </row>
    <row r="98" spans="1:5" ht="12.75" customHeight="1" x14ac:dyDescent="0.4">
      <c r="A98" s="19" t="s">
        <v>99</v>
      </c>
      <c r="B98" s="20">
        <f>HLOOKUP(SUBSTITUTE(CONCATENATE(SUBSTITUTE(SUBSTITUTE(A98,"歳","")," ",""),"_男")," ",""),[2]データ貼り付けシート!$1:$2,2,FALSE)</f>
        <v>9</v>
      </c>
      <c r="C98" s="20">
        <f>HLOOKUP(SUBSTITUTE(CONCATENATE(SUBSTITUTE(SUBSTITUTE(A98,"歳","")," ",""),"_女")," ",""),[2]データ貼り付けシート!$1:$2,2,FALSE)</f>
        <v>47</v>
      </c>
      <c r="D98" s="20">
        <f>HLOOKUP(SUBSTITUTE(CONCATENATE(SUBSTITUTE(SUBSTITUTE(A98,"歳","")," ",""),"_全体")," ",""),[2]データ貼り付けシート!$1:$2,2,FALSE)</f>
        <v>56</v>
      </c>
      <c r="E98" s="18"/>
    </row>
    <row r="99" spans="1:5" ht="12.75" customHeight="1" x14ac:dyDescent="0.4">
      <c r="A99" s="19" t="s">
        <v>100</v>
      </c>
      <c r="B99" s="20">
        <f>HLOOKUP(SUBSTITUTE(CONCATENATE(SUBSTITUTE(SUBSTITUTE(A99,"歳","")," ",""),"_男")," ",""),[2]データ貼り付けシート!$1:$2,2,FALSE)</f>
        <v>8</v>
      </c>
      <c r="C99" s="20">
        <f>HLOOKUP(SUBSTITUTE(CONCATENATE(SUBSTITUTE(SUBSTITUTE(A99,"歳","")," ",""),"_女")," ",""),[2]データ貼り付けシート!$1:$2,2,FALSE)</f>
        <v>36</v>
      </c>
      <c r="D99" s="20">
        <f>HLOOKUP(SUBSTITUTE(CONCATENATE(SUBSTITUTE(SUBSTITUTE(A99,"歳","")," ",""),"_全体")," ",""),[2]データ貼り付けシート!$1:$2,2,FALSE)</f>
        <v>44</v>
      </c>
      <c r="E99" s="18"/>
    </row>
    <row r="100" spans="1:5" ht="12.75" customHeight="1" x14ac:dyDescent="0.4">
      <c r="A100" s="19" t="s">
        <v>101</v>
      </c>
      <c r="B100" s="20">
        <f>HLOOKUP(SUBSTITUTE(CONCATENATE(SUBSTITUTE(SUBSTITUTE(A100,"歳","")," ",""),"_男")," ",""),[2]データ貼り付けシート!$1:$2,2,FALSE)</f>
        <v>6</v>
      </c>
      <c r="C100" s="20">
        <f>HLOOKUP(SUBSTITUTE(CONCATENATE(SUBSTITUTE(SUBSTITUTE(A100,"歳","")," ",""),"_女")," ",""),[2]データ貼り付けシート!$1:$2,2,FALSE)</f>
        <v>26</v>
      </c>
      <c r="D100" s="20">
        <f>HLOOKUP(SUBSTITUTE(CONCATENATE(SUBSTITUTE(SUBSTITUTE(A100,"歳","")," ",""),"_全体")," ",""),[2]データ貼り付けシート!$1:$2,2,FALSE)</f>
        <v>32</v>
      </c>
      <c r="E100" s="18"/>
    </row>
    <row r="101" spans="1:5" ht="12.75" customHeight="1" x14ac:dyDescent="0.4">
      <c r="A101" s="19" t="s">
        <v>102</v>
      </c>
      <c r="B101" s="20">
        <f>HLOOKUP(SUBSTITUTE(CONCATENATE(SUBSTITUTE(SUBSTITUTE(A101,"歳","")," ",""),"_男")," ",""),[2]データ貼り付けシート!$1:$2,2,FALSE)</f>
        <v>4</v>
      </c>
      <c r="C101" s="20">
        <f>HLOOKUP(SUBSTITUTE(CONCATENATE(SUBSTITUTE(SUBSTITUTE(A101,"歳","")," ",""),"_女")," ",""),[2]データ貼り付けシート!$1:$2,2,FALSE)</f>
        <v>22</v>
      </c>
      <c r="D101" s="20">
        <f>HLOOKUP(SUBSTITUTE(CONCATENATE(SUBSTITUTE(SUBSTITUTE(A101,"歳","")," ",""),"_全体")," ",""),[2]データ貼り付けシート!$1:$2,2,FALSE)</f>
        <v>26</v>
      </c>
      <c r="E101" s="18"/>
    </row>
    <row r="102" spans="1:5" ht="12.75" customHeight="1" x14ac:dyDescent="0.4">
      <c r="A102" s="19" t="s">
        <v>103</v>
      </c>
      <c r="B102" s="20">
        <f>HLOOKUP(SUBSTITUTE(CONCATENATE(SUBSTITUTE(SUBSTITUTE(A102,"歳","")," ",""),"_男")," ",""),[2]データ貼り付けシート!$1:$2,2,FALSE)</f>
        <v>0</v>
      </c>
      <c r="C102" s="20">
        <f>HLOOKUP(SUBSTITUTE(CONCATENATE(SUBSTITUTE(SUBSTITUTE(A102,"歳","")," ",""),"_女")," ",""),[2]データ貼り付けシート!$1:$2,2,FALSE)</f>
        <v>20</v>
      </c>
      <c r="D102" s="20">
        <f>HLOOKUP(SUBSTITUTE(CONCATENATE(SUBSTITUTE(SUBSTITUTE(A102,"歳","")," ",""),"_全体")," ",""),[2]データ貼り付けシート!$1:$2,2,FALSE)</f>
        <v>20</v>
      </c>
      <c r="E102" s="18"/>
    </row>
    <row r="103" spans="1:5" ht="12.75" customHeight="1" x14ac:dyDescent="0.4">
      <c r="A103" s="19" t="s">
        <v>104</v>
      </c>
      <c r="B103" s="20">
        <f>HLOOKUP(SUBSTITUTE(CONCATENATE(SUBSTITUTE(SUBSTITUTE(A103,"歳","")," ",""),"_男")," ",""),[2]データ貼り付けシート!$1:$2,2,FALSE)</f>
        <v>1</v>
      </c>
      <c r="C103" s="20">
        <f>HLOOKUP(SUBSTITUTE(CONCATENATE(SUBSTITUTE(SUBSTITUTE(A103,"歳","")," ",""),"_女")," ",""),[2]データ貼り付けシート!$1:$2,2,FALSE)</f>
        <v>5</v>
      </c>
      <c r="D103" s="20">
        <f>HLOOKUP(SUBSTITUTE(CONCATENATE(SUBSTITUTE(SUBSTITUTE(A103,"歳","")," ",""),"_全体")," ",""),[2]データ貼り付けシート!$1:$2,2,FALSE)</f>
        <v>6</v>
      </c>
      <c r="E103" s="18"/>
    </row>
    <row r="104" spans="1:5" ht="12.75" customHeight="1" x14ac:dyDescent="0.4">
      <c r="A104" s="19" t="s">
        <v>105</v>
      </c>
      <c r="B104" s="20">
        <f>HLOOKUP(SUBSTITUTE(CONCATENATE(SUBSTITUTE(SUBSTITUTE(A104,"歳","")," ",""),"_男")," ",""),[2]データ貼り付けシート!$1:$2,2,FALSE)</f>
        <v>0</v>
      </c>
      <c r="C104" s="20">
        <f>HLOOKUP(SUBSTITUTE(CONCATENATE(SUBSTITUTE(SUBSTITUTE(A104,"歳","")," ",""),"_女")," ",""),[2]データ貼り付けシート!$1:$2,2,FALSE)</f>
        <v>3</v>
      </c>
      <c r="D104" s="20">
        <f>HLOOKUP(SUBSTITUTE(CONCATENATE(SUBSTITUTE(SUBSTITUTE(A104,"歳","")," ",""),"_全体")," ",""),[2]データ貼り付けシート!$1:$2,2,FALSE)</f>
        <v>3</v>
      </c>
      <c r="E104" s="18"/>
    </row>
    <row r="105" spans="1:5" ht="12.75" customHeight="1" x14ac:dyDescent="0.4">
      <c r="A105" s="19" t="s">
        <v>106</v>
      </c>
      <c r="B105" s="20">
        <f>HLOOKUP(SUBSTITUTE(CONCATENATE(SUBSTITUTE(SUBSTITUTE(A105,"歳","")," ",""),"_男")," ",""),[2]データ貼り付けシート!$1:$2,2,FALSE)</f>
        <v>1</v>
      </c>
      <c r="C105" s="20">
        <f>HLOOKUP(SUBSTITUTE(CONCATENATE(SUBSTITUTE(SUBSTITUTE(A105,"歳","")," ",""),"_女")," ",""),[2]データ貼り付けシート!$1:$2,2,FALSE)</f>
        <v>3</v>
      </c>
      <c r="D105" s="20">
        <f>HLOOKUP(SUBSTITUTE(CONCATENATE(SUBSTITUTE(SUBSTITUTE(A105,"歳","")," ",""),"_全体")," ",""),[2]データ貼り付けシート!$1:$2,2,FALSE)</f>
        <v>4</v>
      </c>
      <c r="E105" s="18"/>
    </row>
    <row r="106" spans="1:5" ht="12.75" customHeight="1" x14ac:dyDescent="0.4">
      <c r="A106" s="19" t="s">
        <v>107</v>
      </c>
      <c r="B106" s="20">
        <f>HLOOKUP(SUBSTITUTE(CONCATENATE(SUBSTITUTE(SUBSTITUTE(A106,"歳","")," ",""),"_男")," ",""),[2]データ貼り付けシート!$1:$2,2,FALSE)</f>
        <v>1</v>
      </c>
      <c r="C106" s="20">
        <f>HLOOKUP(SUBSTITUTE(CONCATENATE(SUBSTITUTE(SUBSTITUTE(A106,"歳","")," ",""),"_女")," ",""),[2]データ貼り付けシート!$1:$2,2,FALSE)</f>
        <v>5</v>
      </c>
      <c r="D106" s="20">
        <f>HLOOKUP(SUBSTITUTE(CONCATENATE(SUBSTITUTE(SUBSTITUTE(A106,"歳","")," ",""),"_全体")," ",""),[2]データ貼り付けシート!$1:$2,2,FALSE)</f>
        <v>6</v>
      </c>
      <c r="E106" s="18"/>
    </row>
    <row r="107" spans="1:5" ht="12.75" customHeight="1" x14ac:dyDescent="0.4">
      <c r="A107" s="19" t="s">
        <v>108</v>
      </c>
      <c r="B107" s="20">
        <f>HLOOKUP(SUBSTITUTE(CONCATENATE(SUBSTITUTE(SUBSTITUTE(A107,"歳","")," ",""),"_男")," ",""),[2]データ貼り付けシート!$1:$2,2,FALSE)</f>
        <v>0</v>
      </c>
      <c r="C107" s="20">
        <f>HLOOKUP(SUBSTITUTE(CONCATENATE(SUBSTITUTE(SUBSTITUTE(A107,"歳","")," ",""),"_女")," ",""),[2]データ貼り付けシート!$1:$2,2,FALSE)</f>
        <v>1</v>
      </c>
      <c r="D107" s="20">
        <f>HLOOKUP(SUBSTITUTE(CONCATENATE(SUBSTITUTE(SUBSTITUTE(A107,"歳","")," ",""),"_全体")," ",""),[2]データ貼り付けシート!$1:$2,2,FALSE)</f>
        <v>1</v>
      </c>
      <c r="E107" s="18"/>
    </row>
    <row r="108" spans="1:5" ht="12.75" customHeight="1" x14ac:dyDescent="0.4">
      <c r="A108" s="19" t="s">
        <v>109</v>
      </c>
      <c r="B108" s="20">
        <f>IF(ISERROR(HLOOKUP("105以上_男",[2]データ貼り付けシート!$1:$2,2,FALSE)),0,HLOOKUP("105以上_男",[2]データ貼り付けシート!$1:$2,2,FALSE))+IF(ISERROR(HLOOKUP("105_男",[2]データ貼り付けシート!$1:$2,2,FALSE)),0,HLOOKUP("105_男",[2]データ貼り付けシート!$1:$2,2,FALSE))</f>
        <v>0</v>
      </c>
      <c r="C108" s="20">
        <f>IF(ISERROR(HLOOKUP("105以上_女",[2]データ貼り付けシート!$1:$2,2,FALSE)),0,HLOOKUP("105以上_女",[2]データ貼り付けシート!$1:$2,2,FALSE))+IF(ISERROR(HLOOKUP("105_女",[2]データ貼り付けシート!$1:$2,2,FALSE)),0,HLOOKUP("105_女",[2]データ貼り付けシート!$1:$2,2,FALSE))</f>
        <v>1</v>
      </c>
      <c r="D108" s="20">
        <f>B108+C108</f>
        <v>1</v>
      </c>
      <c r="E108" s="18"/>
    </row>
    <row r="109" spans="1:5" ht="12.75" customHeight="1" x14ac:dyDescent="0.4">
      <c r="A109" s="19" t="s">
        <v>110</v>
      </c>
      <c r="B109" s="20">
        <f>IF(ISERROR(HLOOKUP("106以上_男",[2]データ貼り付けシート!$1:$2,2,FALSE)),0,HLOOKUP("106以上_男",[2]データ貼り付けシート!$1:$2,2,FALSE))+IF(ISERROR(HLOOKUP("106_男",[2]データ貼り付けシート!$1:$2,2,FALSE)),0,HLOOKUP("106_男",[2]データ貼り付けシート!$1:$2,2,FALSE))</f>
        <v>0</v>
      </c>
      <c r="C109" s="20">
        <f>IF(ISERROR(HLOOKUP("106以上_女",[2]データ貼り付けシート!$1:$2,2,FALSE)),0,HLOOKUP("106以上_女",[2]データ貼り付けシート!$1:$2,2,FALSE))+IF(ISERROR(HLOOKUP("106_女",[2]データ貼り付けシート!$1:$2,2,FALSE)),0,HLOOKUP("106_女",[2]データ貼り付けシート!$1:$2,2,FALSE))</f>
        <v>1</v>
      </c>
      <c r="D109" s="20">
        <f>B109+C109</f>
        <v>1</v>
      </c>
      <c r="E109" s="18"/>
    </row>
    <row r="110" spans="1:5" ht="12.75" customHeight="1" x14ac:dyDescent="0.4">
      <c r="A110" s="19" t="s">
        <v>111</v>
      </c>
      <c r="B110" s="20">
        <f>IF(ISERROR(HLOOKUP("107以上_男",[2]データ貼り付けシート!$1:$2,2,FALSE)),0,HLOOKUP("107以上_男",[2]データ貼り付けシート!$1:$2,2,FALSE))+IF(ISERROR(HLOOKUP("107_男",[2]データ貼り付けシート!$1:$2,2,FALSE)),0,HLOOKUP("107_男",[2]データ貼り付けシート!$1:$2,2,FALSE))</f>
        <v>0</v>
      </c>
      <c r="C110" s="20">
        <f>IF(ISERROR(HLOOKUP("107以上_女",[2]データ貼り付けシート!$1:$2,2,FALSE)),0,HLOOKUP("107以上_女",[2]データ貼り付けシート!$1:$2,2,FALSE))+IF(ISERROR(HLOOKUP("107_女",[2]データ貼り付けシート!$1:$2,2,FALSE)),0,HLOOKUP("107_女",[2]データ貼り付けシート!$1:$2,2,FALSE))</f>
        <v>0</v>
      </c>
      <c r="D110" s="20">
        <f>B110+C110</f>
        <v>0</v>
      </c>
      <c r="E110" s="18"/>
    </row>
    <row r="111" spans="1:5" ht="12.75" customHeight="1" x14ac:dyDescent="0.4">
      <c r="A111" s="19" t="s">
        <v>112</v>
      </c>
      <c r="B111" s="20">
        <f>IF(ISERROR(HLOOKUP("108以上_男",[2]データ貼り付けシート!$1:$2,2,FALSE)),0,HLOOKUP("108以上_男",[2]データ貼り付けシート!$1:$2,2,FALSE))+IF(ISERROR(HLOOKUP("108_男",[2]データ貼り付けシート!$1:$2,2,FALSE)),0,HLOOKUP("108_男",[2]データ貼り付けシート!$1:$2,2,FALSE))</f>
        <v>0</v>
      </c>
      <c r="C111" s="20">
        <f>IF(ISERROR(HLOOKUP("108以上_女",[2]データ貼り付けシート!$1:$2,2,FALSE)),0,HLOOKUP("108以上_女",[2]データ貼り付けシート!$1:$2,2,FALSE))+IF(ISERROR(HLOOKUP("108_女",[2]データ貼り付けシート!$1:$2,2,FALSE)),0,HLOOKUP("108_女",[2]データ貼り付けシート!$1:$2,2,FALSE))</f>
        <v>0</v>
      </c>
      <c r="D111" s="20">
        <f t="shared" ref="D111:D113" si="0">B111+C111</f>
        <v>0</v>
      </c>
      <c r="E111" s="18"/>
    </row>
    <row r="112" spans="1:5" ht="12.75" customHeight="1" x14ac:dyDescent="0.4">
      <c r="A112" s="19" t="s">
        <v>131</v>
      </c>
      <c r="B112" s="20">
        <f>IF(ISERROR(HLOOKUP("109以上_男",[2]データ貼り付けシート!$1:$2,2,FALSE)),0,HLOOKUP("109以上_男",[2]データ貼り付けシート!$1:$2,2,FALSE))+IF(ISERROR(HLOOKUP("109_男",[2]データ貼り付けシート!$1:$2,2,FALSE)),0,HLOOKUP("109_男",[2]データ貼り付けシート!$1:$2,2,FALSE))</f>
        <v>0</v>
      </c>
      <c r="C112" s="20">
        <f>IF(ISERROR(HLOOKUP("109以上_女",[2]データ貼り付けシート!$1:$2,2,FALSE)),0,HLOOKUP("109以上_女",[2]データ貼り付けシート!$1:$2,2,FALSE))+IF(ISERROR(HLOOKUP("109_女",[2]データ貼り付けシート!$1:$2,2,FALSE)),0,HLOOKUP("109_女",[2]データ貼り付けシート!$1:$2,2,FALSE))</f>
        <v>0</v>
      </c>
      <c r="D112" s="20">
        <f t="shared" si="0"/>
        <v>0</v>
      </c>
      <c r="E112" s="18"/>
    </row>
    <row r="113" spans="1:5" ht="12.75" customHeight="1" x14ac:dyDescent="0.4">
      <c r="A113" s="19" t="s">
        <v>114</v>
      </c>
      <c r="B113" s="20">
        <f>IF(ISERROR(HLOOKUP("110以上_男",[2]データ貼り付けシート!$1:$2,2,FALSE)),0,HLOOKUP("110以上_男",[2]データ貼り付けシート!$1:$2,2,FALSE))+IF(ISERROR(HLOOKUP("110_男",[2]データ貼り付けシート!$1:$2,2,FALSE)),0,HLOOKUP("110_男",[2]データ貼り付けシート!$1:$2,2,FALSE))</f>
        <v>0</v>
      </c>
      <c r="C113" s="20">
        <f>IF(ISERROR(HLOOKUP("110以上_女",[2]データ貼り付けシート!$1:$2,2,FALSE)),0,HLOOKUP("107以上_女",[2]データ貼り付けシート!$1:$2,2,FALSE))+IF(ISERROR(HLOOKUP("110_女",[2]データ貼り付けシート!$1:$2,2,FALSE)),0,HLOOKUP("110_女",[2]データ貼り付けシート!$1:$2,2,FALSE))</f>
        <v>0</v>
      </c>
      <c r="D113" s="20">
        <f t="shared" si="0"/>
        <v>0</v>
      </c>
      <c r="E113" s="18"/>
    </row>
    <row r="114" spans="1:5" ht="12.75" customHeight="1" x14ac:dyDescent="0.4">
      <c r="A114" s="18"/>
      <c r="B114" s="21"/>
      <c r="C114" s="21"/>
      <c r="D114" s="21"/>
      <c r="E114" s="18"/>
    </row>
    <row r="115" spans="1:5" ht="12.75" customHeight="1" x14ac:dyDescent="0.4">
      <c r="A115" s="22" t="s">
        <v>0</v>
      </c>
      <c r="B115" s="22" t="s">
        <v>1</v>
      </c>
      <c r="C115" s="23" t="s">
        <v>2</v>
      </c>
      <c r="D115" s="17" t="s">
        <v>3</v>
      </c>
      <c r="E115" s="18"/>
    </row>
    <row r="116" spans="1:5" ht="12.75" customHeight="1" x14ac:dyDescent="0.4">
      <c r="A116" s="22" t="s">
        <v>115</v>
      </c>
      <c r="B116" s="24">
        <f>SUM(B3:B8)</f>
        <v>2356</v>
      </c>
      <c r="C116" s="25">
        <f>SUM(C3:C8)</f>
        <v>2228</v>
      </c>
      <c r="D116" s="20">
        <f>B116+C116</f>
        <v>4584</v>
      </c>
      <c r="E116" s="18"/>
    </row>
    <row r="117" spans="1:5" ht="12.75" customHeight="1" x14ac:dyDescent="0.4">
      <c r="A117" s="22" t="s">
        <v>116</v>
      </c>
      <c r="B117" s="24">
        <f>SUM(B9:B14)</f>
        <v>2199</v>
      </c>
      <c r="C117" s="24">
        <f>SUM(C9:C14)</f>
        <v>2177</v>
      </c>
      <c r="D117" s="20">
        <f>B117+C117</f>
        <v>4376</v>
      </c>
      <c r="E117" s="18"/>
    </row>
    <row r="118" spans="1:5" ht="12.75" customHeight="1" x14ac:dyDescent="0.4">
      <c r="A118" s="22" t="s">
        <v>117</v>
      </c>
      <c r="B118" s="24">
        <f>SUM(B15:B17)</f>
        <v>1183</v>
      </c>
      <c r="C118" s="24">
        <f>SUM(C15:C17)</f>
        <v>1079</v>
      </c>
      <c r="D118" s="20">
        <f>B118+C118</f>
        <v>2262</v>
      </c>
      <c r="E118" s="18"/>
    </row>
    <row r="119" spans="1:5" ht="12.75" customHeight="1" x14ac:dyDescent="0.4">
      <c r="A119" s="22" t="s">
        <v>118</v>
      </c>
      <c r="B119" s="24">
        <f>SUM(B116:B118)</f>
        <v>5738</v>
      </c>
      <c r="C119" s="24">
        <f>SUM(C116:C118)</f>
        <v>5484</v>
      </c>
      <c r="D119" s="24">
        <f>SUM(D116:D118)</f>
        <v>11222</v>
      </c>
      <c r="E119" s="26">
        <f>D119/D135</f>
        <v>0.130635717029673</v>
      </c>
    </row>
    <row r="120" spans="1:5" ht="12.75" customHeight="1" x14ac:dyDescent="0.4">
      <c r="A120" s="18"/>
      <c r="B120" s="18"/>
      <c r="C120" s="18"/>
      <c r="D120" s="18"/>
      <c r="E120" s="18"/>
    </row>
    <row r="121" spans="1:5" ht="12.75" customHeight="1" x14ac:dyDescent="0.4">
      <c r="A121" s="17" t="s">
        <v>0</v>
      </c>
      <c r="B121" s="17" t="s">
        <v>1</v>
      </c>
      <c r="C121" s="17" t="s">
        <v>2</v>
      </c>
      <c r="D121" s="17" t="s">
        <v>3</v>
      </c>
      <c r="E121" s="18"/>
    </row>
    <row r="122" spans="1:5" ht="12.75" customHeight="1" x14ac:dyDescent="0.4">
      <c r="A122" s="17" t="s">
        <v>119</v>
      </c>
      <c r="B122" s="20">
        <f>SUM(B18:B20)</f>
        <v>1206</v>
      </c>
      <c r="C122" s="20">
        <f>SUM(C18:C20)</f>
        <v>1147</v>
      </c>
      <c r="D122" s="20">
        <f t="shared" ref="D122:D126" si="1">B122+C122</f>
        <v>2353</v>
      </c>
      <c r="E122" s="18"/>
    </row>
    <row r="123" spans="1:5" ht="12.75" customHeight="1" x14ac:dyDescent="0.4">
      <c r="A123" s="17" t="s">
        <v>120</v>
      </c>
      <c r="B123" s="20">
        <f>SUM(B21:B32)</f>
        <v>5813</v>
      </c>
      <c r="C123" s="20">
        <f>SUM(C21:C32)</f>
        <v>5362</v>
      </c>
      <c r="D123" s="20">
        <f t="shared" si="1"/>
        <v>11175</v>
      </c>
      <c r="E123" s="18"/>
    </row>
    <row r="124" spans="1:5" ht="12.75" customHeight="1" x14ac:dyDescent="0.4">
      <c r="A124" s="17" t="s">
        <v>121</v>
      </c>
      <c r="B124" s="20">
        <f>SUM(B33:B42)</f>
        <v>5584</v>
      </c>
      <c r="C124" s="20">
        <f>SUM(C33:C42)</f>
        <v>5325</v>
      </c>
      <c r="D124" s="20">
        <f t="shared" si="1"/>
        <v>10909</v>
      </c>
      <c r="E124" s="18"/>
    </row>
    <row r="125" spans="1:5" ht="12.75" customHeight="1" x14ac:dyDescent="0.4">
      <c r="A125" s="17" t="s">
        <v>122</v>
      </c>
      <c r="B125" s="20">
        <f>SUM(B43:B52)</f>
        <v>7352</v>
      </c>
      <c r="C125" s="20">
        <f>SUM(C43:C52)</f>
        <v>6686</v>
      </c>
      <c r="D125" s="20">
        <f t="shared" si="1"/>
        <v>14038</v>
      </c>
      <c r="E125" s="18"/>
    </row>
    <row r="126" spans="1:5" ht="12.75" customHeight="1" x14ac:dyDescent="0.4">
      <c r="A126" s="27" t="s">
        <v>123</v>
      </c>
      <c r="B126" s="20">
        <f>SUM(B53:B67)</f>
        <v>7332</v>
      </c>
      <c r="C126" s="20">
        <f>SUM(C53:C67)</f>
        <v>6864</v>
      </c>
      <c r="D126" s="20">
        <f t="shared" si="1"/>
        <v>14196</v>
      </c>
      <c r="E126" s="18"/>
    </row>
    <row r="127" spans="1:5" ht="12.75" customHeight="1" x14ac:dyDescent="0.4">
      <c r="A127" s="22" t="s">
        <v>132</v>
      </c>
      <c r="B127" s="25">
        <f>SUM(B122:B126)</f>
        <v>27287</v>
      </c>
      <c r="C127" s="25">
        <f>SUM(C122:C126)</f>
        <v>25384</v>
      </c>
      <c r="D127" s="25">
        <f>SUM(D122:D126)</f>
        <v>52671</v>
      </c>
      <c r="E127" s="26">
        <f>D127/D135</f>
        <v>0.61314505896185234</v>
      </c>
    </row>
    <row r="128" spans="1:5" ht="12.75" customHeight="1" x14ac:dyDescent="0.4">
      <c r="A128" s="18"/>
      <c r="B128" s="18"/>
      <c r="C128" s="18"/>
      <c r="D128" s="18"/>
      <c r="E128" s="18"/>
    </row>
    <row r="129" spans="1:5" ht="12.75" customHeight="1" x14ac:dyDescent="0.4">
      <c r="A129" s="17" t="s">
        <v>0</v>
      </c>
      <c r="B129" s="17" t="s">
        <v>1</v>
      </c>
      <c r="C129" s="17" t="s">
        <v>2</v>
      </c>
      <c r="D129" s="17" t="s">
        <v>3</v>
      </c>
      <c r="E129" s="18"/>
    </row>
    <row r="130" spans="1:5" ht="12.75" customHeight="1" x14ac:dyDescent="0.4">
      <c r="A130" s="17" t="s">
        <v>125</v>
      </c>
      <c r="B130" s="20">
        <f>SUM(B68:B72)</f>
        <v>2613</v>
      </c>
      <c r="C130" s="20">
        <f>SUM(C68:C72)</f>
        <v>2913</v>
      </c>
      <c r="D130" s="20">
        <f t="shared" ref="D130:D131" si="2">B130+C130</f>
        <v>5526</v>
      </c>
      <c r="E130" s="18"/>
    </row>
    <row r="131" spans="1:5" ht="12.75" customHeight="1" x14ac:dyDescent="0.4">
      <c r="A131" s="27" t="s">
        <v>126</v>
      </c>
      <c r="B131" s="20">
        <f>SUM(B73:B113)</f>
        <v>7154</v>
      </c>
      <c r="C131" s="20">
        <f>SUM(C73:C113)</f>
        <v>9330</v>
      </c>
      <c r="D131" s="20">
        <f t="shared" si="2"/>
        <v>16484</v>
      </c>
      <c r="E131" s="18"/>
    </row>
    <row r="132" spans="1:5" ht="12.75" customHeight="1" x14ac:dyDescent="0.4">
      <c r="A132" s="22" t="s">
        <v>133</v>
      </c>
      <c r="B132" s="25">
        <f>SUM(B130:B131)</f>
        <v>9767</v>
      </c>
      <c r="C132" s="25">
        <f>SUM(C130:C131)</f>
        <v>12243</v>
      </c>
      <c r="D132" s="25">
        <f>SUM(D130:D131)</f>
        <v>22010</v>
      </c>
      <c r="E132" s="26">
        <f>D132/D135</f>
        <v>0.25621922400847469</v>
      </c>
    </row>
    <row r="133" spans="1:5" ht="12.75" customHeight="1" x14ac:dyDescent="0.4">
      <c r="A133" s="18"/>
      <c r="B133" s="18"/>
      <c r="C133" s="18"/>
      <c r="D133" s="18"/>
      <c r="E133" s="18"/>
    </row>
    <row r="134" spans="1:5" ht="12.75" customHeight="1" x14ac:dyDescent="0.4">
      <c r="A134" s="148" t="s">
        <v>128</v>
      </c>
      <c r="B134" s="17" t="s">
        <v>1</v>
      </c>
      <c r="C134" s="17" t="s">
        <v>2</v>
      </c>
      <c r="D134" s="17" t="s">
        <v>3</v>
      </c>
      <c r="E134" s="18"/>
    </row>
    <row r="135" spans="1:5" ht="12.75" customHeight="1" x14ac:dyDescent="0.4">
      <c r="A135" s="149"/>
      <c r="B135" s="20">
        <f>SUM(B3:B113)</f>
        <v>42792</v>
      </c>
      <c r="C135" s="20">
        <f>SUM(C3:C113)</f>
        <v>43111</v>
      </c>
      <c r="D135" s="20">
        <f>B135+C135</f>
        <v>85903</v>
      </c>
      <c r="E135" s="18"/>
    </row>
    <row r="137" spans="1:5" ht="12.75" customHeight="1" x14ac:dyDescent="0.4">
      <c r="A137" s="15" t="s">
        <v>129</v>
      </c>
    </row>
  </sheetData>
  <mergeCells count="2">
    <mergeCell ref="A1:E1"/>
    <mergeCell ref="A134:A135"/>
  </mergeCells>
  <phoneticPr fontId="16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7"/>
  <sheetViews>
    <sheetView topLeftCell="A122" workbookViewId="0">
      <selection activeCell="B113" sqref="B113"/>
    </sheetView>
  </sheetViews>
  <sheetFormatPr defaultRowHeight="18.75" x14ac:dyDescent="0.4"/>
  <cols>
    <col min="1" max="6" width="9" style="41"/>
    <col min="7" max="7" width="35.125" style="41" bestFit="1" customWidth="1"/>
    <col min="8" max="16384" width="9" style="41"/>
  </cols>
  <sheetData>
    <row r="1" spans="1:7" ht="19.5" x14ac:dyDescent="0.4">
      <c r="A1" s="150" t="s">
        <v>156</v>
      </c>
      <c r="B1" s="150"/>
      <c r="C1" s="150"/>
      <c r="D1" s="150"/>
      <c r="E1" s="150"/>
      <c r="G1" s="42"/>
    </row>
    <row r="2" spans="1:7" x14ac:dyDescent="0.4">
      <c r="A2" s="43" t="s">
        <v>0</v>
      </c>
      <c r="B2" s="43" t="s">
        <v>1</v>
      </c>
      <c r="C2" s="43" t="s">
        <v>2</v>
      </c>
      <c r="D2" s="43" t="s">
        <v>3</v>
      </c>
      <c r="E2" s="44"/>
    </row>
    <row r="3" spans="1:7" x14ac:dyDescent="0.4">
      <c r="A3" s="45" t="s">
        <v>4</v>
      </c>
      <c r="B3" s="46">
        <f>HLOOKUP(SUBSTITUTE(CONCATENATE(SUBSTITUTE(SUBSTITUTE(A3,"歳","")," ",""),"_男")," ",""),[3]データ貼り付けシート!$1:$2,2,FALSE)</f>
        <v>408</v>
      </c>
      <c r="C3" s="46">
        <f>HLOOKUP(SUBSTITUTE(CONCATENATE(SUBSTITUTE(SUBSTITUTE(A3,"歳","")," ",""),"_女")," ",""),[3]データ貼り付けシート!$1:$2,2,FALSE)</f>
        <v>391</v>
      </c>
      <c r="D3" s="46">
        <f>HLOOKUP(SUBSTITUTE(CONCATENATE(SUBSTITUTE(SUBSTITUTE(A3,"歳","")," ",""),"_全体")," ",""),[3]データ貼り付けシート!$1:$2,2,FALSE)</f>
        <v>799</v>
      </c>
      <c r="E3" s="44"/>
    </row>
    <row r="4" spans="1:7" x14ac:dyDescent="0.4">
      <c r="A4" s="45" t="s">
        <v>5</v>
      </c>
      <c r="B4" s="46">
        <f>HLOOKUP(SUBSTITUTE(CONCATENATE(SUBSTITUTE(SUBSTITUTE(A4,"歳","")," ",""),"_男")," ",""),[3]データ貼り付けシート!$1:$2,2,FALSE)</f>
        <v>416</v>
      </c>
      <c r="C4" s="46">
        <f>HLOOKUP(SUBSTITUTE(CONCATENATE(SUBSTITUTE(SUBSTITUTE(A4,"歳","")," ",""),"_女")," ",""),[3]データ貼り付けシート!$1:$2,2,FALSE)</f>
        <v>375</v>
      </c>
      <c r="D4" s="46">
        <f>HLOOKUP(SUBSTITUTE(CONCATENATE(SUBSTITUTE(SUBSTITUTE(A4,"歳","")," ",""),"_全体")," ",""),[3]データ貼り付けシート!$1:$2,2,FALSE)</f>
        <v>791</v>
      </c>
      <c r="E4" s="44"/>
    </row>
    <row r="5" spans="1:7" x14ac:dyDescent="0.4">
      <c r="A5" s="45" t="s">
        <v>6</v>
      </c>
      <c r="B5" s="46">
        <f>HLOOKUP(SUBSTITUTE(CONCATENATE(SUBSTITUTE(SUBSTITUTE(A5,"歳","")," ",""),"_男")," ",""),[3]データ貼り付けシート!$1:$2,2,FALSE)</f>
        <v>395</v>
      </c>
      <c r="C5" s="46">
        <f>HLOOKUP(SUBSTITUTE(CONCATENATE(SUBSTITUTE(SUBSTITUTE(A5,"歳","")," ",""),"_女")," ",""),[3]データ貼り付けシート!$1:$2,2,FALSE)</f>
        <v>364</v>
      </c>
      <c r="D5" s="46">
        <f>HLOOKUP(SUBSTITUTE(CONCATENATE(SUBSTITUTE(SUBSTITUTE(A5,"歳","")," ",""),"_全体")," ",""),[3]データ貼り付けシート!$1:$2,2,FALSE)</f>
        <v>759</v>
      </c>
      <c r="E5" s="44"/>
    </row>
    <row r="6" spans="1:7" x14ac:dyDescent="0.4">
      <c r="A6" s="45" t="s">
        <v>7</v>
      </c>
      <c r="B6" s="46">
        <f>HLOOKUP(SUBSTITUTE(CONCATENATE(SUBSTITUTE(SUBSTITUTE(A6,"歳","")," ",""),"_男")," ",""),[3]データ貼り付けシート!$1:$2,2,FALSE)</f>
        <v>414</v>
      </c>
      <c r="C6" s="46">
        <f>HLOOKUP(SUBSTITUTE(CONCATENATE(SUBSTITUTE(SUBSTITUTE(A6,"歳","")," ",""),"_女")," ",""),[3]データ貼り付けシート!$1:$2,2,FALSE)</f>
        <v>378</v>
      </c>
      <c r="D6" s="46">
        <f>HLOOKUP(SUBSTITUTE(CONCATENATE(SUBSTITUTE(SUBSTITUTE(A6,"歳","")," ",""),"_全体")," ",""),[3]データ貼り付けシート!$1:$2,2,FALSE)</f>
        <v>792</v>
      </c>
      <c r="E6" s="44"/>
    </row>
    <row r="7" spans="1:7" x14ac:dyDescent="0.4">
      <c r="A7" s="45" t="s">
        <v>8</v>
      </c>
      <c r="B7" s="46">
        <f>HLOOKUP(SUBSTITUTE(CONCATENATE(SUBSTITUTE(SUBSTITUTE(A7,"歳","")," ",""),"_男")," ",""),[3]データ貼り付けシート!$1:$2,2,FALSE)</f>
        <v>344</v>
      </c>
      <c r="C7" s="46">
        <f>HLOOKUP(SUBSTITUTE(CONCATENATE(SUBSTITUTE(SUBSTITUTE(A7,"歳","")," ",""),"_女")," ",""),[3]データ貼り付けシート!$1:$2,2,FALSE)</f>
        <v>388</v>
      </c>
      <c r="D7" s="46">
        <f>HLOOKUP(SUBSTITUTE(CONCATENATE(SUBSTITUTE(SUBSTITUTE(A7,"歳","")," ",""),"_全体")," ",""),[3]データ貼り付けシート!$1:$2,2,FALSE)</f>
        <v>732</v>
      </c>
      <c r="E7" s="44"/>
    </row>
    <row r="8" spans="1:7" x14ac:dyDescent="0.4">
      <c r="A8" s="45" t="s">
        <v>9</v>
      </c>
      <c r="B8" s="46">
        <f>HLOOKUP(SUBSTITUTE(CONCATENATE(SUBSTITUTE(SUBSTITUTE(A8,"歳","")," ",""),"_男")," ",""),[3]データ貼り付けシート!$1:$2,2,FALSE)</f>
        <v>393</v>
      </c>
      <c r="C8" s="46">
        <f>HLOOKUP(SUBSTITUTE(CONCATENATE(SUBSTITUTE(SUBSTITUTE(A8,"歳","")," ",""),"_女")," ",""),[3]データ貼り付けシート!$1:$2,2,FALSE)</f>
        <v>347</v>
      </c>
      <c r="D8" s="46">
        <f>HLOOKUP(SUBSTITUTE(CONCATENATE(SUBSTITUTE(SUBSTITUTE(A8,"歳","")," ",""),"_全体")," ",""),[3]データ貼り付けシート!$1:$2,2,FALSE)</f>
        <v>740</v>
      </c>
      <c r="E8" s="44"/>
    </row>
    <row r="9" spans="1:7" x14ac:dyDescent="0.4">
      <c r="A9" s="45" t="s">
        <v>10</v>
      </c>
      <c r="B9" s="46">
        <f>HLOOKUP(SUBSTITUTE(CONCATENATE(SUBSTITUTE(SUBSTITUTE(A9,"歳","")," ",""),"_男")," ",""),[3]データ貼り付けシート!$1:$2,2,FALSE)</f>
        <v>358</v>
      </c>
      <c r="C9" s="46">
        <f>HLOOKUP(SUBSTITUTE(CONCATENATE(SUBSTITUTE(SUBSTITUTE(A9,"歳","")," ",""),"_女")," ",""),[3]データ貼り付けシート!$1:$2,2,FALSE)</f>
        <v>325</v>
      </c>
      <c r="D9" s="46">
        <f>HLOOKUP(SUBSTITUTE(CONCATENATE(SUBSTITUTE(SUBSTITUTE(A9,"歳","")," ",""),"_全体")," ",""),[3]データ貼り付けシート!$1:$2,2,FALSE)</f>
        <v>683</v>
      </c>
      <c r="E9" s="44"/>
    </row>
    <row r="10" spans="1:7" x14ac:dyDescent="0.4">
      <c r="A10" s="45" t="s">
        <v>11</v>
      </c>
      <c r="B10" s="46">
        <f>HLOOKUP(SUBSTITUTE(CONCATENATE(SUBSTITUTE(SUBSTITUTE(A10,"歳","")," ",""),"_男")," ",""),[3]データ貼り付けシート!$1:$2,2,FALSE)</f>
        <v>358</v>
      </c>
      <c r="C10" s="46">
        <f>HLOOKUP(SUBSTITUTE(CONCATENATE(SUBSTITUTE(SUBSTITUTE(A10,"歳","")," ",""),"_女")," ",""),[3]データ貼り付けシート!$1:$2,2,FALSE)</f>
        <v>368</v>
      </c>
      <c r="D10" s="46">
        <f>HLOOKUP(SUBSTITUTE(CONCATENATE(SUBSTITUTE(SUBSTITUTE(A10,"歳","")," ",""),"_全体")," ",""),[3]データ貼り付けシート!$1:$2,2,FALSE)</f>
        <v>726</v>
      </c>
      <c r="E10" s="44"/>
    </row>
    <row r="11" spans="1:7" x14ac:dyDescent="0.4">
      <c r="A11" s="45" t="s">
        <v>12</v>
      </c>
      <c r="B11" s="46">
        <f>HLOOKUP(SUBSTITUTE(CONCATENATE(SUBSTITUTE(SUBSTITUTE(A11,"歳","")," ",""),"_男")," ",""),[3]データ貼り付けシート!$1:$2,2,FALSE)</f>
        <v>372</v>
      </c>
      <c r="C11" s="46">
        <f>HLOOKUP(SUBSTITUTE(CONCATENATE(SUBSTITUTE(SUBSTITUTE(A11,"歳","")," ",""),"_女")," ",""),[3]データ貼り付けシート!$1:$2,2,FALSE)</f>
        <v>361</v>
      </c>
      <c r="D11" s="46">
        <f>HLOOKUP(SUBSTITUTE(CONCATENATE(SUBSTITUTE(SUBSTITUTE(A11,"歳","")," ",""),"_全体")," ",""),[3]データ貼り付けシート!$1:$2,2,FALSE)</f>
        <v>733</v>
      </c>
      <c r="E11" s="44"/>
    </row>
    <row r="12" spans="1:7" x14ac:dyDescent="0.4">
      <c r="A12" s="45" t="s">
        <v>13</v>
      </c>
      <c r="B12" s="46">
        <f>HLOOKUP(SUBSTITUTE(CONCATENATE(SUBSTITUTE(SUBSTITUTE(A12,"歳","")," ",""),"_男")," ",""),[3]データ貼り付けシート!$1:$2,2,FALSE)</f>
        <v>396</v>
      </c>
      <c r="C12" s="46">
        <f>HLOOKUP(SUBSTITUTE(CONCATENATE(SUBSTITUTE(SUBSTITUTE(A12,"歳","")," ",""),"_女")," ",""),[3]データ貼り付けシート!$1:$2,2,FALSE)</f>
        <v>357</v>
      </c>
      <c r="D12" s="46">
        <f>HLOOKUP(SUBSTITUTE(CONCATENATE(SUBSTITUTE(SUBSTITUTE(A12,"歳","")," ",""),"_全体")," ",""),[3]データ貼り付けシート!$1:$2,2,FALSE)</f>
        <v>753</v>
      </c>
      <c r="E12" s="44"/>
    </row>
    <row r="13" spans="1:7" x14ac:dyDescent="0.4">
      <c r="A13" s="45" t="s">
        <v>14</v>
      </c>
      <c r="B13" s="46">
        <f>HLOOKUP(SUBSTITUTE(CONCATENATE(SUBSTITUTE(SUBSTITUTE(A13,"歳","")," ",""),"_男")," ",""),[3]データ貼り付けシート!$1:$2,2,FALSE)</f>
        <v>336</v>
      </c>
      <c r="C13" s="46">
        <f>HLOOKUP(SUBSTITUTE(CONCATENATE(SUBSTITUTE(SUBSTITUTE(A13,"歳","")," ",""),"_女")," ",""),[3]データ貼り付けシート!$1:$2,2,FALSE)</f>
        <v>368</v>
      </c>
      <c r="D13" s="46">
        <f>HLOOKUP(SUBSTITUTE(CONCATENATE(SUBSTITUTE(SUBSTITUTE(A13,"歳","")," ",""),"_全体")," ",""),[3]データ貼り付けシート!$1:$2,2,FALSE)</f>
        <v>704</v>
      </c>
      <c r="E13" s="44"/>
    </row>
    <row r="14" spans="1:7" x14ac:dyDescent="0.4">
      <c r="A14" s="45" t="s">
        <v>15</v>
      </c>
      <c r="B14" s="46">
        <f>HLOOKUP(SUBSTITUTE(CONCATENATE(SUBSTITUTE(SUBSTITUTE(A14,"歳","")," ",""),"_男")," ",""),[3]データ貼り付けシート!$1:$2,2,FALSE)</f>
        <v>373</v>
      </c>
      <c r="C14" s="46">
        <f>HLOOKUP(SUBSTITUTE(CONCATENATE(SUBSTITUTE(SUBSTITUTE(A14,"歳","")," ",""),"_女")," ",""),[3]データ貼り付けシート!$1:$2,2,FALSE)</f>
        <v>373</v>
      </c>
      <c r="D14" s="46">
        <f>HLOOKUP(SUBSTITUTE(CONCATENATE(SUBSTITUTE(SUBSTITUTE(A14,"歳","")," ",""),"_全体")," ",""),[3]データ貼り付けシート!$1:$2,2,FALSE)</f>
        <v>746</v>
      </c>
      <c r="E14" s="44"/>
    </row>
    <row r="15" spans="1:7" x14ac:dyDescent="0.4">
      <c r="A15" s="45" t="s">
        <v>16</v>
      </c>
      <c r="B15" s="46">
        <f>HLOOKUP(SUBSTITUTE(CONCATENATE(SUBSTITUTE(SUBSTITUTE(A15,"歳","")," ",""),"_男")," ",""),[3]データ貼り付けシート!$1:$2,2,FALSE)</f>
        <v>409</v>
      </c>
      <c r="C15" s="46">
        <f>HLOOKUP(SUBSTITUTE(CONCATENATE(SUBSTITUTE(SUBSTITUTE(A15,"歳","")," ",""),"_女")," ",""),[3]データ貼り付けシート!$1:$2,2,FALSE)</f>
        <v>344</v>
      </c>
      <c r="D15" s="46">
        <f>HLOOKUP(SUBSTITUTE(CONCATENATE(SUBSTITUTE(SUBSTITUTE(A15,"歳","")," ",""),"_全体")," ",""),[3]データ貼り付けシート!$1:$2,2,FALSE)</f>
        <v>753</v>
      </c>
      <c r="E15" s="44"/>
    </row>
    <row r="16" spans="1:7" x14ac:dyDescent="0.4">
      <c r="A16" s="45" t="s">
        <v>17</v>
      </c>
      <c r="B16" s="46">
        <f>HLOOKUP(SUBSTITUTE(CONCATENATE(SUBSTITUTE(SUBSTITUTE(A16,"歳","")," ",""),"_男")," ",""),[3]データ貼り付けシート!$1:$2,2,FALSE)</f>
        <v>360</v>
      </c>
      <c r="C16" s="46">
        <f>HLOOKUP(SUBSTITUTE(CONCATENATE(SUBSTITUTE(SUBSTITUTE(A16,"歳","")," ",""),"_女")," ",""),[3]データ貼り付けシート!$1:$2,2,FALSE)</f>
        <v>362</v>
      </c>
      <c r="D16" s="46">
        <f>HLOOKUP(SUBSTITUTE(CONCATENATE(SUBSTITUTE(SUBSTITUTE(A16,"歳","")," ",""),"_全体")," ",""),[3]データ貼り付けシート!$1:$2,2,FALSE)</f>
        <v>722</v>
      </c>
      <c r="E16" s="44"/>
    </row>
    <row r="17" spans="1:5" x14ac:dyDescent="0.4">
      <c r="A17" s="45" t="s">
        <v>18</v>
      </c>
      <c r="B17" s="46">
        <f>HLOOKUP(SUBSTITUTE(CONCATENATE(SUBSTITUTE(SUBSTITUTE(A17,"歳","")," ",""),"_男")," ",""),[3]データ貼り付けシート!$1:$2,2,FALSE)</f>
        <v>415</v>
      </c>
      <c r="C17" s="46">
        <f>HLOOKUP(SUBSTITUTE(CONCATENATE(SUBSTITUTE(SUBSTITUTE(A17,"歳","")," ",""),"_女")," ",""),[3]データ貼り付けシート!$1:$2,2,FALSE)</f>
        <v>359</v>
      </c>
      <c r="D17" s="46">
        <f>HLOOKUP(SUBSTITUTE(CONCATENATE(SUBSTITUTE(SUBSTITUTE(A17,"歳","")," ",""),"_全体")," ",""),[3]データ貼り付けシート!$1:$2,2,FALSE)</f>
        <v>774</v>
      </c>
      <c r="E17" s="44"/>
    </row>
    <row r="18" spans="1:5" x14ac:dyDescent="0.4">
      <c r="A18" s="45" t="s">
        <v>19</v>
      </c>
      <c r="B18" s="46">
        <f>HLOOKUP(SUBSTITUTE(CONCATENATE(SUBSTITUTE(SUBSTITUTE(A18,"歳","")," ",""),"_男")," ",""),[3]データ貼り付けシート!$1:$2,2,FALSE)</f>
        <v>384</v>
      </c>
      <c r="C18" s="46">
        <f>HLOOKUP(SUBSTITUTE(CONCATENATE(SUBSTITUTE(SUBSTITUTE(A18,"歳","")," ",""),"_女")," ",""),[3]データ貼り付けシート!$1:$2,2,FALSE)</f>
        <v>377</v>
      </c>
      <c r="D18" s="46">
        <f>HLOOKUP(SUBSTITUTE(CONCATENATE(SUBSTITUTE(SUBSTITUTE(A18,"歳","")," ",""),"_全体")," ",""),[3]データ貼り付けシート!$1:$2,2,FALSE)</f>
        <v>761</v>
      </c>
      <c r="E18" s="44"/>
    </row>
    <row r="19" spans="1:5" x14ac:dyDescent="0.4">
      <c r="A19" s="45" t="s">
        <v>20</v>
      </c>
      <c r="B19" s="46">
        <f>HLOOKUP(SUBSTITUTE(CONCATENATE(SUBSTITUTE(SUBSTITUTE(A19,"歳","")," ",""),"_男")," ",""),[3]データ貼り付けシート!$1:$2,2,FALSE)</f>
        <v>383</v>
      </c>
      <c r="C19" s="46">
        <f>HLOOKUP(SUBSTITUTE(CONCATENATE(SUBSTITUTE(SUBSTITUTE(A19,"歳","")," ",""),"_女")," ",""),[3]データ貼り付けシート!$1:$2,2,FALSE)</f>
        <v>380</v>
      </c>
      <c r="D19" s="46">
        <f>HLOOKUP(SUBSTITUTE(CONCATENATE(SUBSTITUTE(SUBSTITUTE(A19,"歳","")," ",""),"_全体")," ",""),[3]データ貼り付けシート!$1:$2,2,FALSE)</f>
        <v>763</v>
      </c>
      <c r="E19" s="44"/>
    </row>
    <row r="20" spans="1:5" x14ac:dyDescent="0.4">
      <c r="A20" s="45" t="s">
        <v>21</v>
      </c>
      <c r="B20" s="46">
        <f>HLOOKUP(SUBSTITUTE(CONCATENATE(SUBSTITUTE(SUBSTITUTE(A20,"歳","")," ",""),"_男")," ",""),[3]データ貼り付けシート!$1:$2,2,FALSE)</f>
        <v>430</v>
      </c>
      <c r="C20" s="46">
        <f>HLOOKUP(SUBSTITUTE(CONCATENATE(SUBSTITUTE(SUBSTITUTE(A20,"歳","")," ",""),"_女")," ",""),[3]データ貼り付けシート!$1:$2,2,FALSE)</f>
        <v>395</v>
      </c>
      <c r="D20" s="46">
        <f>HLOOKUP(SUBSTITUTE(CONCATENATE(SUBSTITUTE(SUBSTITUTE(A20,"歳","")," ",""),"_全体")," ",""),[3]データ貼り付けシート!$1:$2,2,FALSE)</f>
        <v>825</v>
      </c>
      <c r="E20" s="44"/>
    </row>
    <row r="21" spans="1:5" x14ac:dyDescent="0.4">
      <c r="A21" s="45" t="s">
        <v>22</v>
      </c>
      <c r="B21" s="46">
        <f>HLOOKUP(SUBSTITUTE(CONCATENATE(SUBSTITUTE(SUBSTITUTE(A21,"歳","")," ",""),"_男")," ",""),[3]データ貼り付けシート!$1:$2,2,FALSE)</f>
        <v>429</v>
      </c>
      <c r="C21" s="46">
        <f>HLOOKUP(SUBSTITUTE(CONCATENATE(SUBSTITUTE(SUBSTITUTE(A21,"歳","")," ",""),"_女")," ",""),[3]データ貼り付けシート!$1:$2,2,FALSE)</f>
        <v>383</v>
      </c>
      <c r="D21" s="46">
        <f>HLOOKUP(SUBSTITUTE(CONCATENATE(SUBSTITUTE(SUBSTITUTE(A21,"歳","")," ",""),"_全体")," ",""),[3]データ貼り付けシート!$1:$2,2,FALSE)</f>
        <v>812</v>
      </c>
      <c r="E21" s="44"/>
    </row>
    <row r="22" spans="1:5" x14ac:dyDescent="0.4">
      <c r="A22" s="45" t="s">
        <v>23</v>
      </c>
      <c r="B22" s="46">
        <f>HLOOKUP(SUBSTITUTE(CONCATENATE(SUBSTITUTE(SUBSTITUTE(A22,"歳","")," ",""),"_男")," ",""),[3]データ貼り付けシート!$1:$2,2,FALSE)</f>
        <v>473</v>
      </c>
      <c r="C22" s="46">
        <f>HLOOKUP(SUBSTITUTE(CONCATENATE(SUBSTITUTE(SUBSTITUTE(A22,"歳","")," ",""),"_女")," ",""),[3]データ貼り付けシート!$1:$2,2,FALSE)</f>
        <v>444</v>
      </c>
      <c r="D22" s="46">
        <f>HLOOKUP(SUBSTITUTE(CONCATENATE(SUBSTITUTE(SUBSTITUTE(A22,"歳","")," ",""),"_全体")," ",""),[3]データ貼り付けシート!$1:$2,2,FALSE)</f>
        <v>917</v>
      </c>
      <c r="E22" s="44"/>
    </row>
    <row r="23" spans="1:5" x14ac:dyDescent="0.4">
      <c r="A23" s="45" t="s">
        <v>24</v>
      </c>
      <c r="B23" s="46">
        <f>HLOOKUP(SUBSTITUTE(CONCATENATE(SUBSTITUTE(SUBSTITUTE(A23,"歳","")," ",""),"_男")," ",""),[3]データ貼り付けシート!$1:$2,2,FALSE)</f>
        <v>457</v>
      </c>
      <c r="C23" s="46">
        <f>HLOOKUP(SUBSTITUTE(CONCATENATE(SUBSTITUTE(SUBSTITUTE(A23,"歳","")," ",""),"_女")," ",""),[3]データ貼り付けシート!$1:$2,2,FALSE)</f>
        <v>429</v>
      </c>
      <c r="D23" s="46">
        <f>HLOOKUP(SUBSTITUTE(CONCATENATE(SUBSTITUTE(SUBSTITUTE(A23,"歳","")," ",""),"_全体")," ",""),[3]データ貼り付けシート!$1:$2,2,FALSE)</f>
        <v>886</v>
      </c>
      <c r="E23" s="44"/>
    </row>
    <row r="24" spans="1:5" x14ac:dyDescent="0.4">
      <c r="A24" s="45" t="s">
        <v>25</v>
      </c>
      <c r="B24" s="46">
        <f>HLOOKUP(SUBSTITUTE(CONCATENATE(SUBSTITUTE(SUBSTITUTE(A24,"歳","")," ",""),"_男")," ",""),[3]データ貼り付けシート!$1:$2,2,FALSE)</f>
        <v>440</v>
      </c>
      <c r="C24" s="46">
        <f>HLOOKUP(SUBSTITUTE(CONCATENATE(SUBSTITUTE(SUBSTITUTE(A24,"歳","")," ",""),"_女")," ",""),[3]データ貼り付けシート!$1:$2,2,FALSE)</f>
        <v>429</v>
      </c>
      <c r="D24" s="46">
        <f>HLOOKUP(SUBSTITUTE(CONCATENATE(SUBSTITUTE(SUBSTITUTE(A24,"歳","")," ",""),"_全体")," ",""),[3]データ貼り付けシート!$1:$2,2,FALSE)</f>
        <v>869</v>
      </c>
      <c r="E24" s="44"/>
    </row>
    <row r="25" spans="1:5" x14ac:dyDescent="0.4">
      <c r="A25" s="45" t="s">
        <v>26</v>
      </c>
      <c r="B25" s="46">
        <f>HLOOKUP(SUBSTITUTE(CONCATENATE(SUBSTITUTE(SUBSTITUTE(A25,"歳","")," ",""),"_男")," ",""),[3]データ貼り付けシート!$1:$2,2,FALSE)</f>
        <v>477</v>
      </c>
      <c r="C25" s="46">
        <f>HLOOKUP(SUBSTITUTE(CONCATENATE(SUBSTITUTE(SUBSTITUTE(A25,"歳","")," ",""),"_女")," ",""),[3]データ貼り付けシート!$1:$2,2,FALSE)</f>
        <v>472</v>
      </c>
      <c r="D25" s="46">
        <f>HLOOKUP(SUBSTITUTE(CONCATENATE(SUBSTITUTE(SUBSTITUTE(A25,"歳","")," ",""),"_全体")," ",""),[3]データ貼り付けシート!$1:$2,2,FALSE)</f>
        <v>949</v>
      </c>
      <c r="E25" s="44"/>
    </row>
    <row r="26" spans="1:5" x14ac:dyDescent="0.4">
      <c r="A26" s="45" t="s">
        <v>27</v>
      </c>
      <c r="B26" s="46">
        <f>HLOOKUP(SUBSTITUTE(CONCATENATE(SUBSTITUTE(SUBSTITUTE(A26,"歳","")," ",""),"_男")," ",""),[3]データ貼り付けシート!$1:$2,2,FALSE)</f>
        <v>490</v>
      </c>
      <c r="C26" s="46">
        <f>HLOOKUP(SUBSTITUTE(CONCATENATE(SUBSTITUTE(SUBSTITUTE(A26,"歳","")," ",""),"_女")," ",""),[3]データ貼り付けシート!$1:$2,2,FALSE)</f>
        <v>460</v>
      </c>
      <c r="D26" s="46">
        <f>HLOOKUP(SUBSTITUTE(CONCATENATE(SUBSTITUTE(SUBSTITUTE(A26,"歳","")," ",""),"_全体")," ",""),[3]データ貼り付けシート!$1:$2,2,FALSE)</f>
        <v>950</v>
      </c>
      <c r="E26" s="44"/>
    </row>
    <row r="27" spans="1:5" x14ac:dyDescent="0.4">
      <c r="A27" s="45" t="s">
        <v>28</v>
      </c>
      <c r="B27" s="46">
        <f>HLOOKUP(SUBSTITUTE(CONCATENATE(SUBSTITUTE(SUBSTITUTE(A27,"歳","")," ",""),"_男")," ",""),[3]データ貼り付けシート!$1:$2,2,FALSE)</f>
        <v>477</v>
      </c>
      <c r="C27" s="46">
        <f>HLOOKUP(SUBSTITUTE(CONCATENATE(SUBSTITUTE(SUBSTITUTE(A27,"歳","")," ",""),"_女")," ",""),[3]データ貼り付けシート!$1:$2,2,FALSE)</f>
        <v>426</v>
      </c>
      <c r="D27" s="46">
        <f>HLOOKUP(SUBSTITUTE(CONCATENATE(SUBSTITUTE(SUBSTITUTE(A27,"歳","")," ",""),"_全体")," ",""),[3]データ貼り付けシート!$1:$2,2,FALSE)</f>
        <v>903</v>
      </c>
      <c r="E27" s="44"/>
    </row>
    <row r="28" spans="1:5" x14ac:dyDescent="0.4">
      <c r="A28" s="45" t="s">
        <v>29</v>
      </c>
      <c r="B28" s="46">
        <f>HLOOKUP(SUBSTITUTE(CONCATENATE(SUBSTITUTE(SUBSTITUTE(A28,"歳","")," ",""),"_男")," ",""),[3]データ貼り付けシート!$1:$2,2,FALSE)</f>
        <v>522</v>
      </c>
      <c r="C28" s="46">
        <f>HLOOKUP(SUBSTITUTE(CONCATENATE(SUBSTITUTE(SUBSTITUTE(A28,"歳","")," ",""),"_女")," ",""),[3]データ貼り付けシート!$1:$2,2,FALSE)</f>
        <v>422</v>
      </c>
      <c r="D28" s="46">
        <f>HLOOKUP(SUBSTITUTE(CONCATENATE(SUBSTITUTE(SUBSTITUTE(A28,"歳","")," ",""),"_全体")," ",""),[3]データ貼り付けシート!$1:$2,2,FALSE)</f>
        <v>944</v>
      </c>
      <c r="E28" s="44"/>
    </row>
    <row r="29" spans="1:5" x14ac:dyDescent="0.4">
      <c r="A29" s="45" t="s">
        <v>30</v>
      </c>
      <c r="B29" s="46">
        <f>HLOOKUP(SUBSTITUTE(CONCATENATE(SUBSTITUTE(SUBSTITUTE(A29,"歳","")," ",""),"_男")," ",""),[3]データ貼り付けシート!$1:$2,2,FALSE)</f>
        <v>508</v>
      </c>
      <c r="C29" s="46">
        <f>HLOOKUP(SUBSTITUTE(CONCATENATE(SUBSTITUTE(SUBSTITUTE(A29,"歳","")," ",""),"_女")," ",""),[3]データ貼り付けシート!$1:$2,2,FALSE)</f>
        <v>470</v>
      </c>
      <c r="D29" s="46">
        <f>HLOOKUP(SUBSTITUTE(CONCATENATE(SUBSTITUTE(SUBSTITUTE(A29,"歳","")," ",""),"_全体")," ",""),[3]データ貼り付けシート!$1:$2,2,FALSE)</f>
        <v>978</v>
      </c>
      <c r="E29" s="44"/>
    </row>
    <row r="30" spans="1:5" x14ac:dyDescent="0.4">
      <c r="A30" s="45" t="s">
        <v>31</v>
      </c>
      <c r="B30" s="46">
        <f>HLOOKUP(SUBSTITUTE(CONCATENATE(SUBSTITUTE(SUBSTITUTE(A30,"歳","")," ",""),"_男")," ",""),[3]データ貼り付けシート!$1:$2,2,FALSE)</f>
        <v>491</v>
      </c>
      <c r="C30" s="46">
        <f>HLOOKUP(SUBSTITUTE(CONCATENATE(SUBSTITUTE(SUBSTITUTE(A30,"歳","")," ",""),"_女")," ",""),[3]データ貼り付けシート!$1:$2,2,FALSE)</f>
        <v>467</v>
      </c>
      <c r="D30" s="46">
        <f>HLOOKUP(SUBSTITUTE(CONCATENATE(SUBSTITUTE(SUBSTITUTE(A30,"歳","")," ",""),"_全体")," ",""),[3]データ貼り付けシート!$1:$2,2,FALSE)</f>
        <v>958</v>
      </c>
      <c r="E30" s="44"/>
    </row>
    <row r="31" spans="1:5" x14ac:dyDescent="0.4">
      <c r="A31" s="45" t="s">
        <v>32</v>
      </c>
      <c r="B31" s="46">
        <f>HLOOKUP(SUBSTITUTE(CONCATENATE(SUBSTITUTE(SUBSTITUTE(A31,"歳","")," ",""),"_男")," ",""),[3]データ貼り付けシート!$1:$2,2,FALSE)</f>
        <v>534</v>
      </c>
      <c r="C31" s="46">
        <f>HLOOKUP(SUBSTITUTE(CONCATENATE(SUBSTITUTE(SUBSTITUTE(A31,"歳","")," ",""),"_女")," ",""),[3]データ貼り付けシート!$1:$2,2,FALSE)</f>
        <v>552</v>
      </c>
      <c r="D31" s="46">
        <f>HLOOKUP(SUBSTITUTE(CONCATENATE(SUBSTITUTE(SUBSTITUTE(A31,"歳","")," ",""),"_全体")," ",""),[3]データ貼り付けシート!$1:$2,2,FALSE)</f>
        <v>1086</v>
      </c>
      <c r="E31" s="44"/>
    </row>
    <row r="32" spans="1:5" x14ac:dyDescent="0.4">
      <c r="A32" s="45" t="s">
        <v>33</v>
      </c>
      <c r="B32" s="46">
        <f>HLOOKUP(SUBSTITUTE(CONCATENATE(SUBSTITUTE(SUBSTITUTE(A32,"歳","")," ",""),"_男")," ",""),[3]データ貼り付けシート!$1:$2,2,FALSE)</f>
        <v>505</v>
      </c>
      <c r="C32" s="46">
        <f>HLOOKUP(SUBSTITUTE(CONCATENATE(SUBSTITUTE(SUBSTITUTE(A32,"歳","")," ",""),"_女")," ",""),[3]データ貼り付けシート!$1:$2,2,FALSE)</f>
        <v>491</v>
      </c>
      <c r="D32" s="46">
        <f>HLOOKUP(SUBSTITUTE(CONCATENATE(SUBSTITUTE(SUBSTITUTE(A32,"歳","")," ",""),"_全体")," ",""),[3]データ貼り付けシート!$1:$2,2,FALSE)</f>
        <v>996</v>
      </c>
      <c r="E32" s="44"/>
    </row>
    <row r="33" spans="1:5" x14ac:dyDescent="0.4">
      <c r="A33" s="45" t="s">
        <v>34</v>
      </c>
      <c r="B33" s="46">
        <f>HLOOKUP(SUBSTITUTE(CONCATENATE(SUBSTITUTE(SUBSTITUTE(A33,"歳","")," ",""),"_男")," ",""),[3]データ貼り付けシート!$1:$2,2,FALSE)</f>
        <v>584</v>
      </c>
      <c r="C33" s="46">
        <f>HLOOKUP(SUBSTITUTE(CONCATENATE(SUBSTITUTE(SUBSTITUTE(A33,"歳","")," ",""),"_女")," ",""),[3]データ貼り付けシート!$1:$2,2,FALSE)</f>
        <v>541</v>
      </c>
      <c r="D33" s="46">
        <f>HLOOKUP(SUBSTITUTE(CONCATENATE(SUBSTITUTE(SUBSTITUTE(A33,"歳","")," ",""),"_全体")," ",""),[3]データ貼り付けシート!$1:$2,2,FALSE)</f>
        <v>1125</v>
      </c>
      <c r="E33" s="44"/>
    </row>
    <row r="34" spans="1:5" x14ac:dyDescent="0.4">
      <c r="A34" s="45" t="s">
        <v>35</v>
      </c>
      <c r="B34" s="46">
        <f>HLOOKUP(SUBSTITUTE(CONCATENATE(SUBSTITUTE(SUBSTITUTE(A34,"歳","")," ",""),"_男")," ",""),[3]データ貼り付けシート!$1:$2,2,FALSE)</f>
        <v>551</v>
      </c>
      <c r="C34" s="46">
        <f>HLOOKUP(SUBSTITUTE(CONCATENATE(SUBSTITUTE(SUBSTITUTE(A34,"歳","")," ",""),"_女")," ",""),[3]データ貼り付けシート!$1:$2,2,FALSE)</f>
        <v>501</v>
      </c>
      <c r="D34" s="46">
        <f>HLOOKUP(SUBSTITUTE(CONCATENATE(SUBSTITUTE(SUBSTITUTE(A34,"歳","")," ",""),"_全体")," ",""),[3]データ貼り付けシート!$1:$2,2,FALSE)</f>
        <v>1052</v>
      </c>
      <c r="E34" s="44"/>
    </row>
    <row r="35" spans="1:5" x14ac:dyDescent="0.4">
      <c r="A35" s="45" t="s">
        <v>36</v>
      </c>
      <c r="B35" s="46">
        <f>HLOOKUP(SUBSTITUTE(CONCATENATE(SUBSTITUTE(SUBSTITUTE(A35,"歳","")," ",""),"_男")," ",""),[3]データ貼り付けシート!$1:$2,2,FALSE)</f>
        <v>519</v>
      </c>
      <c r="C35" s="46">
        <f>HLOOKUP(SUBSTITUTE(CONCATENATE(SUBSTITUTE(SUBSTITUTE(A35,"歳","")," ",""),"_女")," ",""),[3]データ貼り付けシート!$1:$2,2,FALSE)</f>
        <v>517</v>
      </c>
      <c r="D35" s="46">
        <f>HLOOKUP(SUBSTITUTE(CONCATENATE(SUBSTITUTE(SUBSTITUTE(A35,"歳","")," ",""),"_全体")," ",""),[3]データ貼り付けシート!$1:$2,2,FALSE)</f>
        <v>1036</v>
      </c>
      <c r="E35" s="44"/>
    </row>
    <row r="36" spans="1:5" x14ac:dyDescent="0.4">
      <c r="A36" s="45" t="s">
        <v>37</v>
      </c>
      <c r="B36" s="46">
        <f>HLOOKUP(SUBSTITUTE(CONCATENATE(SUBSTITUTE(SUBSTITUTE(A36,"歳","")," ",""),"_男")," ",""),[3]データ貼り付けシート!$1:$2,2,FALSE)</f>
        <v>550</v>
      </c>
      <c r="C36" s="46">
        <f>HLOOKUP(SUBSTITUTE(CONCATENATE(SUBSTITUTE(SUBSTITUTE(A36,"歳","")," ",""),"_女")," ",""),[3]データ貼り付けシート!$1:$2,2,FALSE)</f>
        <v>537</v>
      </c>
      <c r="D36" s="46">
        <f>HLOOKUP(SUBSTITUTE(CONCATENATE(SUBSTITUTE(SUBSTITUTE(A36,"歳","")," ",""),"_全体")," ",""),[3]データ貼り付けシート!$1:$2,2,FALSE)</f>
        <v>1087</v>
      </c>
      <c r="E36" s="44"/>
    </row>
    <row r="37" spans="1:5" x14ac:dyDescent="0.4">
      <c r="A37" s="45" t="s">
        <v>38</v>
      </c>
      <c r="B37" s="46">
        <f>HLOOKUP(SUBSTITUTE(CONCATENATE(SUBSTITUTE(SUBSTITUTE(A37,"歳","")," ",""),"_男")," ",""),[3]データ貼り付けシート!$1:$2,2,FALSE)</f>
        <v>575</v>
      </c>
      <c r="C37" s="46">
        <f>HLOOKUP(SUBSTITUTE(CONCATENATE(SUBSTITUTE(SUBSTITUTE(A37,"歳","")," ",""),"_女")," ",""),[3]データ貼り付けシート!$1:$2,2,FALSE)</f>
        <v>500</v>
      </c>
      <c r="D37" s="46">
        <f>HLOOKUP(SUBSTITUTE(CONCATENATE(SUBSTITUTE(SUBSTITUTE(A37,"歳","")," ",""),"_全体")," ",""),[3]データ貼り付けシート!$1:$2,2,FALSE)</f>
        <v>1075</v>
      </c>
      <c r="E37" s="44"/>
    </row>
    <row r="38" spans="1:5" x14ac:dyDescent="0.4">
      <c r="A38" s="45" t="s">
        <v>39</v>
      </c>
      <c r="B38" s="46">
        <f>HLOOKUP(SUBSTITUTE(CONCATENATE(SUBSTITUTE(SUBSTITUTE(A38,"歳","")," ",""),"_男")," ",""),[3]データ貼り付けシート!$1:$2,2,FALSE)</f>
        <v>544</v>
      </c>
      <c r="C38" s="46">
        <f>HLOOKUP(SUBSTITUTE(CONCATENATE(SUBSTITUTE(SUBSTITUTE(A38,"歳","")," ",""),"_女")," ",""),[3]データ貼り付けシート!$1:$2,2,FALSE)</f>
        <v>552</v>
      </c>
      <c r="D38" s="46">
        <f>HLOOKUP(SUBSTITUTE(CONCATENATE(SUBSTITUTE(SUBSTITUTE(A38,"歳","")," ",""),"_全体")," ",""),[3]データ貼り付けシート!$1:$2,2,FALSE)</f>
        <v>1096</v>
      </c>
      <c r="E38" s="44"/>
    </row>
    <row r="39" spans="1:5" x14ac:dyDescent="0.4">
      <c r="A39" s="45" t="s">
        <v>40</v>
      </c>
      <c r="B39" s="46">
        <f>HLOOKUP(SUBSTITUTE(CONCATENATE(SUBSTITUTE(SUBSTITUTE(A39,"歳","")," ",""),"_男")," ",""),[3]データ貼り付けシート!$1:$2,2,FALSE)</f>
        <v>591</v>
      </c>
      <c r="C39" s="46">
        <f>HLOOKUP(SUBSTITUTE(CONCATENATE(SUBSTITUTE(SUBSTITUTE(A39,"歳","")," ",""),"_女")," ",""),[3]データ貼り付けシート!$1:$2,2,FALSE)</f>
        <v>555</v>
      </c>
      <c r="D39" s="46">
        <f>HLOOKUP(SUBSTITUTE(CONCATENATE(SUBSTITUTE(SUBSTITUTE(A39,"歳","")," ",""),"_全体")," ",""),[3]データ貼り付けシート!$1:$2,2,FALSE)</f>
        <v>1146</v>
      </c>
      <c r="E39" s="44"/>
    </row>
    <row r="40" spans="1:5" x14ac:dyDescent="0.4">
      <c r="A40" s="45" t="s">
        <v>41</v>
      </c>
      <c r="B40" s="46">
        <f>HLOOKUP(SUBSTITUTE(CONCATENATE(SUBSTITUTE(SUBSTITUTE(A40,"歳","")," ",""),"_男")," ",""),[3]データ貼り付けシート!$1:$2,2,FALSE)</f>
        <v>563</v>
      </c>
      <c r="C40" s="46">
        <f>HLOOKUP(SUBSTITUTE(CONCATENATE(SUBSTITUTE(SUBSTITUTE(A40,"歳","")," ",""),"_女")," ",""),[3]データ貼り付けシート!$1:$2,2,FALSE)</f>
        <v>533</v>
      </c>
      <c r="D40" s="46">
        <f>HLOOKUP(SUBSTITUTE(CONCATENATE(SUBSTITUTE(SUBSTITUTE(A40,"歳","")," ",""),"_全体")," ",""),[3]データ貼り付けシート!$1:$2,2,FALSE)</f>
        <v>1096</v>
      </c>
      <c r="E40" s="44"/>
    </row>
    <row r="41" spans="1:5" x14ac:dyDescent="0.4">
      <c r="A41" s="45" t="s">
        <v>42</v>
      </c>
      <c r="B41" s="46">
        <f>HLOOKUP(SUBSTITUTE(CONCATENATE(SUBSTITUTE(SUBSTITUTE(A41,"歳","")," ",""),"_男")," ",""),[3]データ貼り付けシート!$1:$2,2,FALSE)</f>
        <v>573</v>
      </c>
      <c r="C41" s="46">
        <f>HLOOKUP(SUBSTITUTE(CONCATENATE(SUBSTITUTE(SUBSTITUTE(A41,"歳","")," ",""),"_女")," ",""),[3]データ貼り付けシート!$1:$2,2,FALSE)</f>
        <v>538</v>
      </c>
      <c r="D41" s="46">
        <f>HLOOKUP(SUBSTITUTE(CONCATENATE(SUBSTITUTE(SUBSTITUTE(A41,"歳","")," ",""),"_全体")," ",""),[3]データ貼り付けシート!$1:$2,2,FALSE)</f>
        <v>1111</v>
      </c>
      <c r="E41" s="44"/>
    </row>
    <row r="42" spans="1:5" x14ac:dyDescent="0.4">
      <c r="A42" s="45" t="s">
        <v>43</v>
      </c>
      <c r="B42" s="46">
        <f>HLOOKUP(SUBSTITUTE(CONCATENATE(SUBSTITUTE(SUBSTITUTE(A42,"歳","")," ",""),"_男")," ",""),[3]データ貼り付けシート!$1:$2,2,FALSE)</f>
        <v>568</v>
      </c>
      <c r="C42" s="46">
        <f>HLOOKUP(SUBSTITUTE(CONCATENATE(SUBSTITUTE(SUBSTITUTE(A42,"歳","")," ",""),"_女")," ",""),[3]データ貼り付けシート!$1:$2,2,FALSE)</f>
        <v>551</v>
      </c>
      <c r="D42" s="46">
        <f>HLOOKUP(SUBSTITUTE(CONCATENATE(SUBSTITUTE(SUBSTITUTE(A42,"歳","")," ",""),"_全体")," ",""),[3]データ貼り付けシート!$1:$2,2,FALSE)</f>
        <v>1119</v>
      </c>
      <c r="E42" s="44"/>
    </row>
    <row r="43" spans="1:5" x14ac:dyDescent="0.4">
      <c r="A43" s="45" t="s">
        <v>44</v>
      </c>
      <c r="B43" s="46">
        <f>HLOOKUP(SUBSTITUTE(CONCATENATE(SUBSTITUTE(SUBSTITUTE(A43,"歳","")," ",""),"_男")," ",""),[3]データ貼り付けシート!$1:$2,2,FALSE)</f>
        <v>582</v>
      </c>
      <c r="C43" s="46">
        <f>HLOOKUP(SUBSTITUTE(CONCATENATE(SUBSTITUTE(SUBSTITUTE(A43,"歳","")," ",""),"_女")," ",""),[3]データ貼り付けシート!$1:$2,2,FALSE)</f>
        <v>556</v>
      </c>
      <c r="D43" s="46">
        <f>HLOOKUP(SUBSTITUTE(CONCATENATE(SUBSTITUTE(SUBSTITUTE(A43,"歳","")," ",""),"_全体")," ",""),[3]データ貼り付けシート!$1:$2,2,FALSE)</f>
        <v>1138</v>
      </c>
      <c r="E43" s="44"/>
    </row>
    <row r="44" spans="1:5" x14ac:dyDescent="0.4">
      <c r="A44" s="45" t="s">
        <v>45</v>
      </c>
      <c r="B44" s="46">
        <f>HLOOKUP(SUBSTITUTE(CONCATENATE(SUBSTITUTE(SUBSTITUTE(A44,"歳","")," ",""),"_男")," ",""),[3]データ貼り付けシート!$1:$2,2,FALSE)</f>
        <v>654</v>
      </c>
      <c r="C44" s="46">
        <f>HLOOKUP(SUBSTITUTE(CONCATENATE(SUBSTITUTE(SUBSTITUTE(A44,"歳","")," ",""),"_女")," ",""),[3]データ貼り付けシート!$1:$2,2,FALSE)</f>
        <v>598</v>
      </c>
      <c r="D44" s="46">
        <f>HLOOKUP(SUBSTITUTE(CONCATENATE(SUBSTITUTE(SUBSTITUTE(A44,"歳","")," ",""),"_全体")," ",""),[3]データ貼り付けシート!$1:$2,2,FALSE)</f>
        <v>1252</v>
      </c>
      <c r="E44" s="44"/>
    </row>
    <row r="45" spans="1:5" x14ac:dyDescent="0.4">
      <c r="A45" s="45" t="s">
        <v>46</v>
      </c>
      <c r="B45" s="46">
        <f>HLOOKUP(SUBSTITUTE(CONCATENATE(SUBSTITUTE(SUBSTITUTE(A45,"歳","")," ",""),"_男")," ",""),[3]データ貼り付けシート!$1:$2,2,FALSE)</f>
        <v>626</v>
      </c>
      <c r="C45" s="46">
        <f>HLOOKUP(SUBSTITUTE(CONCATENATE(SUBSTITUTE(SUBSTITUTE(A45,"歳","")," ",""),"_女")," ",""),[3]データ貼り付けシート!$1:$2,2,FALSE)</f>
        <v>577</v>
      </c>
      <c r="D45" s="46">
        <f>HLOOKUP(SUBSTITUTE(CONCATENATE(SUBSTITUTE(SUBSTITUTE(A45,"歳","")," ",""),"_全体")," ",""),[3]データ貼り付けシート!$1:$2,2,FALSE)</f>
        <v>1203</v>
      </c>
      <c r="E45" s="44"/>
    </row>
    <row r="46" spans="1:5" x14ac:dyDescent="0.4">
      <c r="A46" s="45" t="s">
        <v>47</v>
      </c>
      <c r="B46" s="46">
        <f>HLOOKUP(SUBSTITUTE(CONCATENATE(SUBSTITUTE(SUBSTITUTE(A46,"歳","")," ",""),"_男")," ",""),[3]データ貼り付けシート!$1:$2,2,FALSE)</f>
        <v>736</v>
      </c>
      <c r="C46" s="46">
        <f>HLOOKUP(SUBSTITUTE(CONCATENATE(SUBSTITUTE(SUBSTITUTE(A46,"歳","")," ",""),"_女")," ",""),[3]データ貼り付けシート!$1:$2,2,FALSE)</f>
        <v>644</v>
      </c>
      <c r="D46" s="46">
        <f>HLOOKUP(SUBSTITUTE(CONCATENATE(SUBSTITUTE(SUBSTITUTE(A46,"歳","")," ",""),"_全体")," ",""),[3]データ貼り付けシート!$1:$2,2,FALSE)</f>
        <v>1380</v>
      </c>
      <c r="E46" s="44"/>
    </row>
    <row r="47" spans="1:5" x14ac:dyDescent="0.4">
      <c r="A47" s="45" t="s">
        <v>48</v>
      </c>
      <c r="B47" s="46">
        <f>HLOOKUP(SUBSTITUTE(CONCATENATE(SUBSTITUTE(SUBSTITUTE(A47,"歳","")," ",""),"_男")," ",""),[3]データ貼り付けシート!$1:$2,2,FALSE)</f>
        <v>750</v>
      </c>
      <c r="C47" s="46">
        <f>HLOOKUP(SUBSTITUTE(CONCATENATE(SUBSTITUTE(SUBSTITUTE(A47,"歳","")," ",""),"_女")," ",""),[3]データ貼り付けシート!$1:$2,2,FALSE)</f>
        <v>738</v>
      </c>
      <c r="D47" s="46">
        <f>HLOOKUP(SUBSTITUTE(CONCATENATE(SUBSTITUTE(SUBSTITUTE(A47,"歳","")," ",""),"_全体")," ",""),[3]データ貼り付けシート!$1:$2,2,FALSE)</f>
        <v>1488</v>
      </c>
      <c r="E47" s="44"/>
    </row>
    <row r="48" spans="1:5" x14ac:dyDescent="0.4">
      <c r="A48" s="45" t="s">
        <v>49</v>
      </c>
      <c r="B48" s="46">
        <f>HLOOKUP(SUBSTITUTE(CONCATENATE(SUBSTITUTE(SUBSTITUTE(A48,"歳","")," ",""),"_男")," ",""),[3]データ貼り付けシート!$1:$2,2,FALSE)</f>
        <v>856</v>
      </c>
      <c r="C48" s="46">
        <f>HLOOKUP(SUBSTITUTE(CONCATENATE(SUBSTITUTE(SUBSTITUTE(A48,"歳","")," ",""),"_女")," ",""),[3]データ貼り付けシート!$1:$2,2,FALSE)</f>
        <v>744</v>
      </c>
      <c r="D48" s="46">
        <f>HLOOKUP(SUBSTITUTE(CONCATENATE(SUBSTITUTE(SUBSTITUTE(A48,"歳","")," ",""),"_全体")," ",""),[3]データ貼り付けシート!$1:$2,2,FALSE)</f>
        <v>1600</v>
      </c>
      <c r="E48" s="44"/>
    </row>
    <row r="49" spans="1:5" x14ac:dyDescent="0.4">
      <c r="A49" s="45" t="s">
        <v>50</v>
      </c>
      <c r="B49" s="46">
        <f>HLOOKUP(SUBSTITUTE(CONCATENATE(SUBSTITUTE(SUBSTITUTE(A49,"歳","")," ",""),"_男")," ",""),[3]データ貼り付けシート!$1:$2,2,FALSE)</f>
        <v>856</v>
      </c>
      <c r="C49" s="46">
        <f>HLOOKUP(SUBSTITUTE(CONCATENATE(SUBSTITUTE(SUBSTITUTE(A49,"歳","")," ",""),"_女")," ",""),[3]データ貼り付けシート!$1:$2,2,FALSE)</f>
        <v>765</v>
      </c>
      <c r="D49" s="46">
        <f>HLOOKUP(SUBSTITUTE(CONCATENATE(SUBSTITUTE(SUBSTITUTE(A49,"歳","")," ",""),"_全体")," ",""),[3]データ貼り付けシート!$1:$2,2,FALSE)</f>
        <v>1621</v>
      </c>
      <c r="E49" s="44"/>
    </row>
    <row r="50" spans="1:5" x14ac:dyDescent="0.4">
      <c r="A50" s="45" t="s">
        <v>51</v>
      </c>
      <c r="B50" s="46">
        <f>HLOOKUP(SUBSTITUTE(CONCATENATE(SUBSTITUTE(SUBSTITUTE(A50,"歳","")," ",""),"_男")," ",""),[3]データ貼り付けシート!$1:$2,2,FALSE)</f>
        <v>820</v>
      </c>
      <c r="C50" s="46">
        <f>HLOOKUP(SUBSTITUTE(CONCATENATE(SUBSTITUTE(SUBSTITUTE(A50,"歳","")," ",""),"_女")," ",""),[3]データ貼り付けシート!$1:$2,2,FALSE)</f>
        <v>743</v>
      </c>
      <c r="D50" s="46">
        <f>HLOOKUP(SUBSTITUTE(CONCATENATE(SUBSTITUTE(SUBSTITUTE(A50,"歳","")," ",""),"_全体")," ",""),[3]データ貼り付けシート!$1:$2,2,FALSE)</f>
        <v>1563</v>
      </c>
      <c r="E50" s="44"/>
    </row>
    <row r="51" spans="1:5" x14ac:dyDescent="0.4">
      <c r="A51" s="45" t="s">
        <v>52</v>
      </c>
      <c r="B51" s="46">
        <f>HLOOKUP(SUBSTITUTE(CONCATENATE(SUBSTITUTE(SUBSTITUTE(A51,"歳","")," ",""),"_男")," ",""),[3]データ貼り付けシート!$1:$2,2,FALSE)</f>
        <v>734</v>
      </c>
      <c r="C51" s="46">
        <f>HLOOKUP(SUBSTITUTE(CONCATENATE(SUBSTITUTE(SUBSTITUTE(A51,"歳","")," ",""),"_女")," ",""),[3]データ貼り付けシート!$1:$2,2,FALSE)</f>
        <v>711</v>
      </c>
      <c r="D51" s="46">
        <f>HLOOKUP(SUBSTITUTE(CONCATENATE(SUBSTITUTE(SUBSTITUTE(A51,"歳","")," ",""),"_全体")," ",""),[3]データ貼り付けシート!$1:$2,2,FALSE)</f>
        <v>1445</v>
      </c>
      <c r="E51" s="44"/>
    </row>
    <row r="52" spans="1:5" x14ac:dyDescent="0.4">
      <c r="A52" s="45" t="s">
        <v>53</v>
      </c>
      <c r="B52" s="46">
        <f>HLOOKUP(SUBSTITUTE(CONCATENATE(SUBSTITUTE(SUBSTITUTE(A52,"歳","")," ",""),"_男")," ",""),[3]データ貼り付けシート!$1:$2,2,FALSE)</f>
        <v>755</v>
      </c>
      <c r="C52" s="46">
        <f>HLOOKUP(SUBSTITUTE(CONCATENATE(SUBSTITUTE(SUBSTITUTE(A52,"歳","")," ",""),"_女")," ",""),[3]データ貼り付けシート!$1:$2,2,FALSE)</f>
        <v>635</v>
      </c>
      <c r="D52" s="46">
        <f>HLOOKUP(SUBSTITUTE(CONCATENATE(SUBSTITUTE(SUBSTITUTE(A52,"歳","")," ",""),"_全体")," ",""),[3]データ貼り付けシート!$1:$2,2,FALSE)</f>
        <v>1390</v>
      </c>
      <c r="E52" s="44"/>
    </row>
    <row r="53" spans="1:5" x14ac:dyDescent="0.4">
      <c r="A53" s="45" t="s">
        <v>54</v>
      </c>
      <c r="B53" s="46">
        <f>HLOOKUP(SUBSTITUTE(CONCATENATE(SUBSTITUTE(SUBSTITUTE(A53,"歳","")," ",""),"_男")," ",""),[3]データ貼り付けシート!$1:$2,2,FALSE)</f>
        <v>672</v>
      </c>
      <c r="C53" s="46">
        <f>HLOOKUP(SUBSTITUTE(CONCATENATE(SUBSTITUTE(SUBSTITUTE(A53,"歳","")," ",""),"_女")," ",""),[3]データ貼り付けシート!$1:$2,2,FALSE)</f>
        <v>609</v>
      </c>
      <c r="D53" s="46">
        <f>HLOOKUP(SUBSTITUTE(CONCATENATE(SUBSTITUTE(SUBSTITUTE(A53,"歳","")," ",""),"_全体")," ",""),[3]データ貼り付けシート!$1:$2,2,FALSE)</f>
        <v>1281</v>
      </c>
      <c r="E53" s="44"/>
    </row>
    <row r="54" spans="1:5" x14ac:dyDescent="0.4">
      <c r="A54" s="45" t="s">
        <v>55</v>
      </c>
      <c r="B54" s="46">
        <f>HLOOKUP(SUBSTITUTE(CONCATENATE(SUBSTITUTE(SUBSTITUTE(A54,"歳","")," ",""),"_男")," ",""),[3]データ貼り付けシート!$1:$2,2,FALSE)</f>
        <v>678</v>
      </c>
      <c r="C54" s="46">
        <f>HLOOKUP(SUBSTITUTE(CONCATENATE(SUBSTITUTE(SUBSTITUTE(A54,"歳","")," ",""),"_女")," ",""),[3]データ貼り付けシート!$1:$2,2,FALSE)</f>
        <v>615</v>
      </c>
      <c r="D54" s="46">
        <f>HLOOKUP(SUBSTITUTE(CONCATENATE(SUBSTITUTE(SUBSTITUTE(A54,"歳","")," ",""),"_全体")," ",""),[3]データ貼り付けシート!$1:$2,2,FALSE)</f>
        <v>1293</v>
      </c>
      <c r="E54" s="44"/>
    </row>
    <row r="55" spans="1:5" x14ac:dyDescent="0.4">
      <c r="A55" s="45" t="s">
        <v>56</v>
      </c>
      <c r="B55" s="46">
        <f>HLOOKUP(SUBSTITUTE(CONCATENATE(SUBSTITUTE(SUBSTITUTE(A55,"歳","")," ",""),"_男")," ",""),[3]データ貼り付けシート!$1:$2,2,FALSE)</f>
        <v>566</v>
      </c>
      <c r="C55" s="46">
        <f>HLOOKUP(SUBSTITUTE(CONCATENATE(SUBSTITUTE(SUBSTITUTE(A55,"歳","")," ",""),"_女")," ",""),[3]データ貼り付けシート!$1:$2,2,FALSE)</f>
        <v>457</v>
      </c>
      <c r="D55" s="46">
        <f>HLOOKUP(SUBSTITUTE(CONCATENATE(SUBSTITUTE(SUBSTITUTE(A55,"歳","")," ",""),"_全体")," ",""),[3]データ貼り付けシート!$1:$2,2,FALSE)</f>
        <v>1023</v>
      </c>
      <c r="E55" s="44"/>
    </row>
    <row r="56" spans="1:5" x14ac:dyDescent="0.4">
      <c r="A56" s="45" t="s">
        <v>57</v>
      </c>
      <c r="B56" s="46">
        <f>HLOOKUP(SUBSTITUTE(CONCATENATE(SUBSTITUTE(SUBSTITUTE(A56,"歳","")," ",""),"_男")," ",""),[3]データ貼り付けシート!$1:$2,2,FALSE)</f>
        <v>567</v>
      </c>
      <c r="C56" s="46">
        <f>HLOOKUP(SUBSTITUTE(CONCATENATE(SUBSTITUTE(SUBSTITUTE(A56,"歳","")," ",""),"_女")," ",""),[3]データ貼り付けシート!$1:$2,2,FALSE)</f>
        <v>493</v>
      </c>
      <c r="D56" s="46">
        <f>HLOOKUP(SUBSTITUTE(CONCATENATE(SUBSTITUTE(SUBSTITUTE(A56,"歳","")," ",""),"_全体")," ",""),[3]データ貼り付けシート!$1:$2,2,FALSE)</f>
        <v>1060</v>
      </c>
      <c r="E56" s="44"/>
    </row>
    <row r="57" spans="1:5" x14ac:dyDescent="0.4">
      <c r="A57" s="45" t="s">
        <v>58</v>
      </c>
      <c r="B57" s="46">
        <f>HLOOKUP(SUBSTITUTE(CONCATENATE(SUBSTITUTE(SUBSTITUTE(A57,"歳","")," ",""),"_男")," ",""),[3]データ貼り付けシート!$1:$2,2,FALSE)</f>
        <v>519</v>
      </c>
      <c r="C57" s="46">
        <f>HLOOKUP(SUBSTITUTE(CONCATENATE(SUBSTITUTE(SUBSTITUTE(A57,"歳","")," ",""),"_女")," ",""),[3]データ貼り付けシート!$1:$2,2,FALSE)</f>
        <v>485</v>
      </c>
      <c r="D57" s="46">
        <f>HLOOKUP(SUBSTITUTE(CONCATENATE(SUBSTITUTE(SUBSTITUTE(A57,"歳","")," ",""),"_全体")," ",""),[3]データ貼り付けシート!$1:$2,2,FALSE)</f>
        <v>1004</v>
      </c>
      <c r="E57" s="44"/>
    </row>
    <row r="58" spans="1:5" x14ac:dyDescent="0.4">
      <c r="A58" s="45" t="s">
        <v>59</v>
      </c>
      <c r="B58" s="46">
        <f>HLOOKUP(SUBSTITUTE(CONCATENATE(SUBSTITUTE(SUBSTITUTE(A58,"歳","")," ",""),"_男")," ",""),[3]データ貼り付けシート!$1:$2,2,FALSE)</f>
        <v>493</v>
      </c>
      <c r="C58" s="46">
        <f>HLOOKUP(SUBSTITUTE(CONCATENATE(SUBSTITUTE(SUBSTITUTE(A58,"歳","")," ",""),"_女")," ",""),[3]データ貼り付けシート!$1:$2,2,FALSE)</f>
        <v>478</v>
      </c>
      <c r="D58" s="46">
        <f>HLOOKUP(SUBSTITUTE(CONCATENATE(SUBSTITUTE(SUBSTITUTE(A58,"歳","")," ",""),"_全体")," ",""),[3]データ貼り付けシート!$1:$2,2,FALSE)</f>
        <v>971</v>
      </c>
      <c r="E58" s="44"/>
    </row>
    <row r="59" spans="1:5" x14ac:dyDescent="0.4">
      <c r="A59" s="45" t="s">
        <v>60</v>
      </c>
      <c r="B59" s="46">
        <f>HLOOKUP(SUBSTITUTE(CONCATENATE(SUBSTITUTE(SUBSTITUTE(A59,"歳","")," ",""),"_男")," ",""),[3]データ貼り付けシート!$1:$2,2,FALSE)</f>
        <v>483</v>
      </c>
      <c r="C59" s="46">
        <f>HLOOKUP(SUBSTITUTE(CONCATENATE(SUBSTITUTE(SUBSTITUTE(A59,"歳","")," ",""),"_女")," ",""),[3]データ貼り付けシート!$1:$2,2,FALSE)</f>
        <v>442</v>
      </c>
      <c r="D59" s="46">
        <f>HLOOKUP(SUBSTITUTE(CONCATENATE(SUBSTITUTE(SUBSTITUTE(A59,"歳","")," ",""),"_全体")," ",""),[3]データ貼り付けシート!$1:$2,2,FALSE)</f>
        <v>925</v>
      </c>
      <c r="E59" s="44"/>
    </row>
    <row r="60" spans="1:5" x14ac:dyDescent="0.4">
      <c r="A60" s="45" t="s">
        <v>61</v>
      </c>
      <c r="B60" s="46">
        <f>HLOOKUP(SUBSTITUTE(CONCATENATE(SUBSTITUTE(SUBSTITUTE(A60,"歳","")," ",""),"_男")," ",""),[3]データ貼り付けシート!$1:$2,2,FALSE)</f>
        <v>461</v>
      </c>
      <c r="C60" s="46">
        <f>HLOOKUP(SUBSTITUTE(CONCATENATE(SUBSTITUTE(SUBSTITUTE(A60,"歳","")," ",""),"_女")," ",""),[3]データ貼り付けシート!$1:$2,2,FALSE)</f>
        <v>413</v>
      </c>
      <c r="D60" s="46">
        <f>HLOOKUP(SUBSTITUTE(CONCATENATE(SUBSTITUTE(SUBSTITUTE(A60,"歳","")," ",""),"_全体")," ",""),[3]データ貼り付けシート!$1:$2,2,FALSE)</f>
        <v>874</v>
      </c>
      <c r="E60" s="44"/>
    </row>
    <row r="61" spans="1:5" x14ac:dyDescent="0.4">
      <c r="A61" s="45" t="s">
        <v>62</v>
      </c>
      <c r="B61" s="46">
        <f>HLOOKUP(SUBSTITUTE(CONCATENATE(SUBSTITUTE(SUBSTITUTE(A61,"歳","")," ",""),"_男")," ",""),[3]データ貼り付けシート!$1:$2,2,FALSE)</f>
        <v>414</v>
      </c>
      <c r="C61" s="46">
        <f>HLOOKUP(SUBSTITUTE(CONCATENATE(SUBSTITUTE(SUBSTITUTE(A61,"歳","")," ",""),"_女")," ",""),[3]データ貼り付けシート!$1:$2,2,FALSE)</f>
        <v>395</v>
      </c>
      <c r="D61" s="46">
        <f>HLOOKUP(SUBSTITUTE(CONCATENATE(SUBSTITUTE(SUBSTITUTE(A61,"歳","")," ",""),"_全体")," ",""),[3]データ貼り付けシート!$1:$2,2,FALSE)</f>
        <v>809</v>
      </c>
      <c r="E61" s="44"/>
    </row>
    <row r="62" spans="1:5" x14ac:dyDescent="0.4">
      <c r="A62" s="45" t="s">
        <v>63</v>
      </c>
      <c r="B62" s="46">
        <f>HLOOKUP(SUBSTITUTE(CONCATENATE(SUBSTITUTE(SUBSTITUTE(A62,"歳","")," ",""),"_男")," ",""),[3]データ貼り付けシート!$1:$2,2,FALSE)</f>
        <v>410</v>
      </c>
      <c r="C62" s="46">
        <f>HLOOKUP(SUBSTITUTE(CONCATENATE(SUBSTITUTE(SUBSTITUTE(A62,"歳","")," ",""),"_女")," ",""),[3]データ貼り付けシート!$1:$2,2,FALSE)</f>
        <v>415</v>
      </c>
      <c r="D62" s="46">
        <f>HLOOKUP(SUBSTITUTE(CONCATENATE(SUBSTITUTE(SUBSTITUTE(A62,"歳","")," ",""),"_全体")," ",""),[3]データ貼り付けシート!$1:$2,2,FALSE)</f>
        <v>825</v>
      </c>
      <c r="E62" s="44"/>
    </row>
    <row r="63" spans="1:5" x14ac:dyDescent="0.4">
      <c r="A63" s="45" t="s">
        <v>64</v>
      </c>
      <c r="B63" s="46">
        <f>HLOOKUP(SUBSTITUTE(CONCATENATE(SUBSTITUTE(SUBSTITUTE(A63,"歳","")," ",""),"_男")," ",""),[3]データ貼り付けシート!$1:$2,2,FALSE)</f>
        <v>447</v>
      </c>
      <c r="C63" s="46">
        <f>HLOOKUP(SUBSTITUTE(CONCATENATE(SUBSTITUTE(SUBSTITUTE(A63,"歳","")," ",""),"_女")," ",""),[3]データ貼り付けシート!$1:$2,2,FALSE)</f>
        <v>405</v>
      </c>
      <c r="D63" s="46">
        <f>HLOOKUP(SUBSTITUTE(CONCATENATE(SUBSTITUTE(SUBSTITUTE(A63,"歳","")," ",""),"_全体")," ",""),[3]データ貼り付けシート!$1:$2,2,FALSE)</f>
        <v>852</v>
      </c>
      <c r="E63" s="44"/>
    </row>
    <row r="64" spans="1:5" x14ac:dyDescent="0.4">
      <c r="A64" s="45" t="s">
        <v>65</v>
      </c>
      <c r="B64" s="46">
        <f>HLOOKUP(SUBSTITUTE(CONCATENATE(SUBSTITUTE(SUBSTITUTE(A64,"歳","")," ",""),"_男")," ",""),[3]データ貼り付けシート!$1:$2,2,FALSE)</f>
        <v>408</v>
      </c>
      <c r="C64" s="46">
        <f>HLOOKUP(SUBSTITUTE(CONCATENATE(SUBSTITUTE(SUBSTITUTE(A64,"歳","")," ",""),"_女")," ",""),[3]データ貼り付けシート!$1:$2,2,FALSE)</f>
        <v>391</v>
      </c>
      <c r="D64" s="46">
        <f>HLOOKUP(SUBSTITUTE(CONCATENATE(SUBSTITUTE(SUBSTITUTE(A64,"歳","")," ",""),"_全体")," ",""),[3]データ貼り付けシート!$1:$2,2,FALSE)</f>
        <v>799</v>
      </c>
      <c r="E64" s="44"/>
    </row>
    <row r="65" spans="1:5" x14ac:dyDescent="0.4">
      <c r="A65" s="45" t="s">
        <v>66</v>
      </c>
      <c r="B65" s="46">
        <f>HLOOKUP(SUBSTITUTE(CONCATENATE(SUBSTITUTE(SUBSTITUTE(A65,"歳","")," ",""),"_男")," ",""),[3]データ貼り付けシート!$1:$2,2,FALSE)</f>
        <v>390</v>
      </c>
      <c r="C65" s="46">
        <f>HLOOKUP(SUBSTITUTE(CONCATENATE(SUBSTITUTE(SUBSTITUTE(A65,"歳","")," ",""),"_女")," ",""),[3]データ貼り付けシート!$1:$2,2,FALSE)</f>
        <v>410</v>
      </c>
      <c r="D65" s="46">
        <f>HLOOKUP(SUBSTITUTE(CONCATENATE(SUBSTITUTE(SUBSTITUTE(A65,"歳","")," ",""),"_全体")," ",""),[3]データ貼り付けシート!$1:$2,2,FALSE)</f>
        <v>800</v>
      </c>
      <c r="E65" s="44"/>
    </row>
    <row r="66" spans="1:5" x14ac:dyDescent="0.4">
      <c r="A66" s="45" t="s">
        <v>67</v>
      </c>
      <c r="B66" s="46">
        <f>HLOOKUP(SUBSTITUTE(CONCATENATE(SUBSTITUTE(SUBSTITUTE(A66,"歳","")," ",""),"_男")," ",""),[3]データ貼り付けシート!$1:$2,2,FALSE)</f>
        <v>430</v>
      </c>
      <c r="C66" s="46">
        <f>HLOOKUP(SUBSTITUTE(CONCATENATE(SUBSTITUTE(SUBSTITUTE(A66,"歳","")," ",""),"_女")," ",""),[3]データ貼り付けシート!$1:$2,2,FALSE)</f>
        <v>426</v>
      </c>
      <c r="D66" s="46">
        <f>HLOOKUP(SUBSTITUTE(CONCATENATE(SUBSTITUTE(SUBSTITUTE(A66,"歳","")," ",""),"_全体")," ",""),[3]データ貼り付けシート!$1:$2,2,FALSE)</f>
        <v>856</v>
      </c>
      <c r="E66" s="44"/>
    </row>
    <row r="67" spans="1:5" x14ac:dyDescent="0.4">
      <c r="A67" s="45" t="s">
        <v>68</v>
      </c>
      <c r="B67" s="46">
        <f>HLOOKUP(SUBSTITUTE(CONCATENATE(SUBSTITUTE(SUBSTITUTE(A67,"歳","")," ",""),"_男")," ",""),[3]データ貼り付けシート!$1:$2,2,FALSE)</f>
        <v>422</v>
      </c>
      <c r="C67" s="46">
        <f>HLOOKUP(SUBSTITUTE(CONCATENATE(SUBSTITUTE(SUBSTITUTE(A67,"歳","")," ",""),"_女")," ",""),[3]データ貼り付けシート!$1:$2,2,FALSE)</f>
        <v>453</v>
      </c>
      <c r="D67" s="46">
        <f>HLOOKUP(SUBSTITUTE(CONCATENATE(SUBSTITUTE(SUBSTITUTE(A67,"歳","")," ",""),"_全体")," ",""),[3]データ貼り付けシート!$1:$2,2,FALSE)</f>
        <v>875</v>
      </c>
      <c r="E67" s="44"/>
    </row>
    <row r="68" spans="1:5" x14ac:dyDescent="0.4">
      <c r="A68" s="45" t="s">
        <v>69</v>
      </c>
      <c r="B68" s="46">
        <f>HLOOKUP(SUBSTITUTE(CONCATENATE(SUBSTITUTE(SUBSTITUTE(A68,"歳","")," ",""),"_男")," ",""),[3]データ貼り付けシート!$1:$2,2,FALSE)</f>
        <v>426</v>
      </c>
      <c r="C68" s="46">
        <f>HLOOKUP(SUBSTITUTE(CONCATENATE(SUBSTITUTE(SUBSTITUTE(A68,"歳","")," ",""),"_女")," ",""),[3]データ貼り付けシート!$1:$2,2,FALSE)</f>
        <v>455</v>
      </c>
      <c r="D68" s="46">
        <f>HLOOKUP(SUBSTITUTE(CONCATENATE(SUBSTITUTE(SUBSTITUTE(A68,"歳","")," ",""),"_全体")," ",""),[3]データ貼り付けシート!$1:$2,2,FALSE)</f>
        <v>881</v>
      </c>
      <c r="E68" s="44"/>
    </row>
    <row r="69" spans="1:5" x14ac:dyDescent="0.4">
      <c r="A69" s="45" t="s">
        <v>70</v>
      </c>
      <c r="B69" s="46">
        <f>HLOOKUP(SUBSTITUTE(CONCATENATE(SUBSTITUTE(SUBSTITUTE(A69,"歳","")," ",""),"_男")," ",""),[3]データ貼り付けシート!$1:$2,2,FALSE)</f>
        <v>447</v>
      </c>
      <c r="C69" s="46">
        <f>HLOOKUP(SUBSTITUTE(CONCATENATE(SUBSTITUTE(SUBSTITUTE(A69,"歳","")," ",""),"_女")," ",""),[3]データ貼り付けシート!$1:$2,2,FALSE)</f>
        <v>511</v>
      </c>
      <c r="D69" s="46">
        <f>HLOOKUP(SUBSTITUTE(CONCATENATE(SUBSTITUTE(SUBSTITUTE(A69,"歳","")," ",""),"_全体")," ",""),[3]データ貼り付けシート!$1:$2,2,FALSE)</f>
        <v>958</v>
      </c>
      <c r="E69" s="44"/>
    </row>
    <row r="70" spans="1:5" x14ac:dyDescent="0.4">
      <c r="A70" s="45" t="s">
        <v>71</v>
      </c>
      <c r="B70" s="46">
        <f>HLOOKUP(SUBSTITUTE(CONCATENATE(SUBSTITUTE(SUBSTITUTE(A70,"歳","")," ",""),"_男")," ",""),[3]データ貼り付けシート!$1:$2,2,FALSE)</f>
        <v>508</v>
      </c>
      <c r="C70" s="46">
        <f>HLOOKUP(SUBSTITUTE(CONCATENATE(SUBSTITUTE(SUBSTITUTE(A70,"歳","")," ",""),"_女")," ",""),[3]データ貼り付けシート!$1:$2,2,FALSE)</f>
        <v>548</v>
      </c>
      <c r="D70" s="46">
        <f>HLOOKUP(SUBSTITUTE(CONCATENATE(SUBSTITUTE(SUBSTITUTE(A70,"歳","")," ",""),"_全体")," ",""),[3]データ貼り付けシート!$1:$2,2,FALSE)</f>
        <v>1056</v>
      </c>
      <c r="E70" s="44"/>
    </row>
    <row r="71" spans="1:5" x14ac:dyDescent="0.4">
      <c r="A71" s="45" t="s">
        <v>72</v>
      </c>
      <c r="B71" s="46">
        <f>HLOOKUP(SUBSTITUTE(CONCATENATE(SUBSTITUTE(SUBSTITUTE(A71,"歳","")," ",""),"_男")," ",""),[3]データ貼り付けシート!$1:$2,2,FALSE)</f>
        <v>567</v>
      </c>
      <c r="C71" s="46">
        <f>HLOOKUP(SUBSTITUTE(CONCATENATE(SUBSTITUTE(SUBSTITUTE(A71,"歳","")," ",""),"_女")," ",""),[3]データ貼り付けシート!$1:$2,2,FALSE)</f>
        <v>632</v>
      </c>
      <c r="D71" s="46">
        <f>HLOOKUP(SUBSTITUTE(CONCATENATE(SUBSTITUTE(SUBSTITUTE(A71,"歳","")," ",""),"_全体")," ",""),[3]データ貼り付けシート!$1:$2,2,FALSE)</f>
        <v>1199</v>
      </c>
      <c r="E71" s="44"/>
    </row>
    <row r="72" spans="1:5" x14ac:dyDescent="0.4">
      <c r="A72" s="45" t="s">
        <v>73</v>
      </c>
      <c r="B72" s="46">
        <f>HLOOKUP(SUBSTITUTE(CONCATENATE(SUBSTITUTE(SUBSTITUTE(A72,"歳","")," ",""),"_男")," ",""),[3]データ貼り付けシート!$1:$2,2,FALSE)</f>
        <v>650</v>
      </c>
      <c r="C72" s="46">
        <f>HLOOKUP(SUBSTITUTE(CONCATENATE(SUBSTITUTE(SUBSTITUTE(A72,"歳","")," ",""),"_女")," ",""),[3]データ貼り付けシート!$1:$2,2,FALSE)</f>
        <v>722</v>
      </c>
      <c r="D72" s="46">
        <f>HLOOKUP(SUBSTITUTE(CONCATENATE(SUBSTITUTE(SUBSTITUTE(A72,"歳","")," ",""),"_全体")," ",""),[3]データ貼り付けシート!$1:$2,2,FALSE)</f>
        <v>1372</v>
      </c>
      <c r="E72" s="44"/>
    </row>
    <row r="73" spans="1:5" x14ac:dyDescent="0.4">
      <c r="A73" s="45" t="s">
        <v>74</v>
      </c>
      <c r="B73" s="46">
        <f>HLOOKUP(SUBSTITUTE(CONCATENATE(SUBSTITUTE(SUBSTITUTE(A73,"歳","")," ",""),"_男")," ",""),[3]データ貼り付けシート!$1:$2,2,FALSE)</f>
        <v>646</v>
      </c>
      <c r="C73" s="46">
        <f>HLOOKUP(SUBSTITUTE(CONCATENATE(SUBSTITUTE(SUBSTITUTE(A73,"歳","")," ",""),"_女")," ",""),[3]データ貼り付けシート!$1:$2,2,FALSE)</f>
        <v>792</v>
      </c>
      <c r="D73" s="46">
        <f>HLOOKUP(SUBSTITUTE(CONCATENATE(SUBSTITUTE(SUBSTITUTE(A73,"歳","")," ",""),"_全体")," ",""),[3]データ貼り付けシート!$1:$2,2,FALSE)</f>
        <v>1438</v>
      </c>
      <c r="E73" s="44"/>
    </row>
    <row r="74" spans="1:5" x14ac:dyDescent="0.4">
      <c r="A74" s="45" t="s">
        <v>75</v>
      </c>
      <c r="B74" s="46">
        <f>HLOOKUP(SUBSTITUTE(CONCATENATE(SUBSTITUTE(SUBSTITUTE(A74,"歳","")," ",""),"_男")," ",""),[3]データ貼り付けシート!$1:$2,2,FALSE)</f>
        <v>695</v>
      </c>
      <c r="C74" s="46">
        <f>HLOOKUP(SUBSTITUTE(CONCATENATE(SUBSTITUTE(SUBSTITUTE(A74,"歳","")," ",""),"_女")," ",""),[3]データ貼り付けシート!$1:$2,2,FALSE)</f>
        <v>779</v>
      </c>
      <c r="D74" s="46">
        <f>HLOOKUP(SUBSTITUTE(CONCATENATE(SUBSTITUTE(SUBSTITUTE(A74,"歳","")," ",""),"_全体")," ",""),[3]データ貼り付けシート!$1:$2,2,FALSE)</f>
        <v>1474</v>
      </c>
      <c r="E74" s="44"/>
    </row>
    <row r="75" spans="1:5" x14ac:dyDescent="0.4">
      <c r="A75" s="45" t="s">
        <v>76</v>
      </c>
      <c r="B75" s="46">
        <f>HLOOKUP(SUBSTITUTE(CONCATENATE(SUBSTITUTE(SUBSTITUTE(A75,"歳","")," ",""),"_男")," ",""),[3]データ貼り付けシート!$1:$2,2,FALSE)</f>
        <v>524</v>
      </c>
      <c r="C75" s="46">
        <f>HLOOKUP(SUBSTITUTE(CONCATENATE(SUBSTITUTE(SUBSTITUTE(A75,"歳","")," ",""),"_女")," ",""),[3]データ貼り付けシート!$1:$2,2,FALSE)</f>
        <v>601</v>
      </c>
      <c r="D75" s="46">
        <f>HLOOKUP(SUBSTITUTE(CONCATENATE(SUBSTITUTE(SUBSTITUTE(A75,"歳","")," ",""),"_全体")," ",""),[3]データ貼り付けシート!$1:$2,2,FALSE)</f>
        <v>1125</v>
      </c>
      <c r="E75" s="44"/>
    </row>
    <row r="76" spans="1:5" x14ac:dyDescent="0.4">
      <c r="A76" s="45" t="s">
        <v>77</v>
      </c>
      <c r="B76" s="46">
        <f>HLOOKUP(SUBSTITUTE(CONCATENATE(SUBSTITUTE(SUBSTITUTE(A76,"歳","")," ",""),"_男")," ",""),[3]データ貼り付けシート!$1:$2,2,FALSE)</f>
        <v>349</v>
      </c>
      <c r="C76" s="46">
        <f>HLOOKUP(SUBSTITUTE(CONCATENATE(SUBSTITUTE(SUBSTITUTE(A76,"歳","")," ",""),"_女")," ",""),[3]データ貼り付けシート!$1:$2,2,FALSE)</f>
        <v>448</v>
      </c>
      <c r="D76" s="46">
        <f>HLOOKUP(SUBSTITUTE(CONCATENATE(SUBSTITUTE(SUBSTITUTE(A76,"歳","")," ",""),"_全体")," ",""),[3]データ貼り付けシート!$1:$2,2,FALSE)</f>
        <v>797</v>
      </c>
      <c r="E76" s="44"/>
    </row>
    <row r="77" spans="1:5" x14ac:dyDescent="0.4">
      <c r="A77" s="45" t="s">
        <v>78</v>
      </c>
      <c r="B77" s="46">
        <f>HLOOKUP(SUBSTITUTE(CONCATENATE(SUBSTITUTE(SUBSTITUTE(A77,"歳","")," ",""),"_男")," ",""),[3]データ貼り付けシート!$1:$2,2,FALSE)</f>
        <v>474</v>
      </c>
      <c r="C77" s="46">
        <f>HLOOKUP(SUBSTITUTE(CONCATENATE(SUBSTITUTE(SUBSTITUTE(A77,"歳","")," ",""),"_女")," ",""),[3]データ貼り付けシート!$1:$2,2,FALSE)</f>
        <v>568</v>
      </c>
      <c r="D77" s="46">
        <f>HLOOKUP(SUBSTITUTE(CONCATENATE(SUBSTITUTE(SUBSTITUTE(A77,"歳","")," ",""),"_全体")," ",""),[3]データ貼り付けシート!$1:$2,2,FALSE)</f>
        <v>1042</v>
      </c>
      <c r="E77" s="44"/>
    </row>
    <row r="78" spans="1:5" x14ac:dyDescent="0.4">
      <c r="A78" s="45" t="s">
        <v>79</v>
      </c>
      <c r="B78" s="46">
        <f>HLOOKUP(SUBSTITUTE(CONCATENATE(SUBSTITUTE(SUBSTITUTE(A78,"歳","")," ",""),"_男")," ",""),[3]データ貼り付けシート!$1:$2,2,FALSE)</f>
        <v>536</v>
      </c>
      <c r="C78" s="46">
        <f>HLOOKUP(SUBSTITUTE(CONCATENATE(SUBSTITUTE(SUBSTITUTE(A78,"歳","")," ",""),"_女")," ",""),[3]データ貼り付けシート!$1:$2,2,FALSE)</f>
        <v>609</v>
      </c>
      <c r="D78" s="46">
        <f>HLOOKUP(SUBSTITUTE(CONCATENATE(SUBSTITUTE(SUBSTITUTE(A78,"歳","")," ",""),"_全体")," ",""),[3]データ貼り付けシート!$1:$2,2,FALSE)</f>
        <v>1145</v>
      </c>
      <c r="E78" s="44"/>
    </row>
    <row r="79" spans="1:5" x14ac:dyDescent="0.4">
      <c r="A79" s="45" t="s">
        <v>80</v>
      </c>
      <c r="B79" s="46">
        <f>HLOOKUP(SUBSTITUTE(CONCATENATE(SUBSTITUTE(SUBSTITUTE(A79,"歳","")," ",""),"_男")," ",""),[3]データ貼り付けシート!$1:$2,2,FALSE)</f>
        <v>469</v>
      </c>
      <c r="C79" s="46">
        <f>HLOOKUP(SUBSTITUTE(CONCATENATE(SUBSTITUTE(SUBSTITUTE(A79,"歳","")," ",""),"_女")," ",""),[3]データ貼り付けシート!$1:$2,2,FALSE)</f>
        <v>645</v>
      </c>
      <c r="D79" s="46">
        <f>HLOOKUP(SUBSTITUTE(CONCATENATE(SUBSTITUTE(SUBSTITUTE(A79,"歳","")," ",""),"_全体")," ",""),[3]データ貼り付けシート!$1:$2,2,FALSE)</f>
        <v>1114</v>
      </c>
      <c r="E79" s="44"/>
    </row>
    <row r="80" spans="1:5" x14ac:dyDescent="0.4">
      <c r="A80" s="45" t="s">
        <v>81</v>
      </c>
      <c r="B80" s="46">
        <f>HLOOKUP(SUBSTITUTE(CONCATENATE(SUBSTITUTE(SUBSTITUTE(A80,"歳","")," ",""),"_男")," ",""),[3]データ貼り付けシート!$1:$2,2,FALSE)</f>
        <v>537</v>
      </c>
      <c r="C80" s="46">
        <f>HLOOKUP(SUBSTITUTE(CONCATENATE(SUBSTITUTE(SUBSTITUTE(A80,"歳","")," ",""),"_女")," ",""),[3]データ貼り付けシート!$1:$2,2,FALSE)</f>
        <v>611</v>
      </c>
      <c r="D80" s="46">
        <f>HLOOKUP(SUBSTITUTE(CONCATENATE(SUBSTITUTE(SUBSTITUTE(A80,"歳","")," ",""),"_全体")," ",""),[3]データ貼り付けシート!$1:$2,2,FALSE)</f>
        <v>1148</v>
      </c>
      <c r="E80" s="44"/>
    </row>
    <row r="81" spans="1:5" x14ac:dyDescent="0.4">
      <c r="A81" s="45" t="s">
        <v>82</v>
      </c>
      <c r="B81" s="46">
        <f>HLOOKUP(SUBSTITUTE(CONCATENATE(SUBSTITUTE(SUBSTITUTE(A81,"歳","")," ",""),"_男")," ",""),[3]データ貼り付けシート!$1:$2,2,FALSE)</f>
        <v>442</v>
      </c>
      <c r="C81" s="46">
        <f>HLOOKUP(SUBSTITUTE(CONCATENATE(SUBSTITUTE(SUBSTITUTE(A81,"歳","")," ",""),"_女")," ",""),[3]データ貼り付けシート!$1:$2,2,FALSE)</f>
        <v>530</v>
      </c>
      <c r="D81" s="46">
        <f>HLOOKUP(SUBSTITUTE(CONCATENATE(SUBSTITUTE(SUBSTITUTE(A81,"歳","")," ",""),"_全体")," ",""),[3]データ貼り付けシート!$1:$2,2,FALSE)</f>
        <v>972</v>
      </c>
      <c r="E81" s="44"/>
    </row>
    <row r="82" spans="1:5" x14ac:dyDescent="0.4">
      <c r="A82" s="45" t="s">
        <v>83</v>
      </c>
      <c r="B82" s="46">
        <f>HLOOKUP(SUBSTITUTE(CONCATENATE(SUBSTITUTE(SUBSTITUTE(A82,"歳","")," ",""),"_男")," ",""),[3]データ貼り付けシート!$1:$2,2,FALSE)</f>
        <v>372</v>
      </c>
      <c r="C82" s="46">
        <f>HLOOKUP(SUBSTITUTE(CONCATENATE(SUBSTITUTE(SUBSTITUTE(A82,"歳","")," ",""),"_女")," ",""),[3]データ貼り付けシート!$1:$2,2,FALSE)</f>
        <v>440</v>
      </c>
      <c r="D82" s="46">
        <f>HLOOKUP(SUBSTITUTE(CONCATENATE(SUBSTITUTE(SUBSTITUTE(A82,"歳","")," ",""),"_全体")," ",""),[3]データ貼り付けシート!$1:$2,2,FALSE)</f>
        <v>812</v>
      </c>
      <c r="E82" s="44"/>
    </row>
    <row r="83" spans="1:5" x14ac:dyDescent="0.4">
      <c r="A83" s="45" t="s">
        <v>84</v>
      </c>
      <c r="B83" s="46">
        <f>HLOOKUP(SUBSTITUTE(CONCATENATE(SUBSTITUTE(SUBSTITUTE(A83,"歳","")," ",""),"_男")," ",""),[3]データ貼り付けシート!$1:$2,2,FALSE)</f>
        <v>324</v>
      </c>
      <c r="C83" s="46">
        <f>HLOOKUP(SUBSTITUTE(CONCATENATE(SUBSTITUTE(SUBSTITUTE(A83,"歳","")," ",""),"_女")," ",""),[3]データ貼り付けシート!$1:$2,2,FALSE)</f>
        <v>379</v>
      </c>
      <c r="D83" s="46">
        <f>HLOOKUP(SUBSTITUTE(CONCATENATE(SUBSTITUTE(SUBSTITUTE(A83,"歳","")," ",""),"_全体")," ",""),[3]データ貼り付けシート!$1:$2,2,FALSE)</f>
        <v>703</v>
      </c>
      <c r="E83" s="44"/>
    </row>
    <row r="84" spans="1:5" x14ac:dyDescent="0.4">
      <c r="A84" s="45" t="s">
        <v>85</v>
      </c>
      <c r="B84" s="46">
        <f>HLOOKUP(SUBSTITUTE(CONCATENATE(SUBSTITUTE(SUBSTITUTE(A84,"歳","")," ",""),"_男")," ",""),[3]データ貼り付けシート!$1:$2,2,FALSE)</f>
        <v>332</v>
      </c>
      <c r="C84" s="46">
        <f>HLOOKUP(SUBSTITUTE(CONCATENATE(SUBSTITUTE(SUBSTITUTE(A84,"歳","")," ",""),"_女")," ",""),[3]データ貼り付けシート!$1:$2,2,FALSE)</f>
        <v>375</v>
      </c>
      <c r="D84" s="46">
        <f>HLOOKUP(SUBSTITUTE(CONCATENATE(SUBSTITUTE(SUBSTITUTE(A84,"歳","")," ",""),"_全体")," ",""),[3]データ貼り付けシート!$1:$2,2,FALSE)</f>
        <v>707</v>
      </c>
      <c r="E84" s="44"/>
    </row>
    <row r="85" spans="1:5" x14ac:dyDescent="0.4">
      <c r="A85" s="45" t="s">
        <v>86</v>
      </c>
      <c r="B85" s="46">
        <f>HLOOKUP(SUBSTITUTE(CONCATENATE(SUBSTITUTE(SUBSTITUTE(A85,"歳","")," ",""),"_男")," ",""),[3]データ貼り付けシート!$1:$2,2,FALSE)</f>
        <v>279</v>
      </c>
      <c r="C85" s="46">
        <f>HLOOKUP(SUBSTITUTE(CONCATENATE(SUBSTITUTE(SUBSTITUTE(A85,"歳","")," ",""),"_女")," ",""),[3]データ貼り付けシート!$1:$2,2,FALSE)</f>
        <v>352</v>
      </c>
      <c r="D85" s="46">
        <f>HLOOKUP(SUBSTITUTE(CONCATENATE(SUBSTITUTE(SUBSTITUTE(A85,"歳","")," ",""),"_全体")," ",""),[3]データ貼り付けシート!$1:$2,2,FALSE)</f>
        <v>631</v>
      </c>
      <c r="E85" s="44"/>
    </row>
    <row r="86" spans="1:5" x14ac:dyDescent="0.4">
      <c r="A86" s="45" t="s">
        <v>87</v>
      </c>
      <c r="B86" s="46">
        <f>HLOOKUP(SUBSTITUTE(CONCATENATE(SUBSTITUTE(SUBSTITUTE(A86,"歳","")," ",""),"_男")," ",""),[3]データ貼り付けシート!$1:$2,2,FALSE)</f>
        <v>257</v>
      </c>
      <c r="C86" s="46">
        <f>HLOOKUP(SUBSTITUTE(CONCATENATE(SUBSTITUTE(SUBSTITUTE(A86,"歳","")," ",""),"_女")," ",""),[3]データ貼り付けシート!$1:$2,2,FALSE)</f>
        <v>319</v>
      </c>
      <c r="D86" s="46">
        <f>HLOOKUP(SUBSTITUTE(CONCATENATE(SUBSTITUTE(SUBSTITUTE(A86,"歳","")," ",""),"_全体")," ",""),[3]データ貼り付けシート!$1:$2,2,FALSE)</f>
        <v>576</v>
      </c>
      <c r="E86" s="44"/>
    </row>
    <row r="87" spans="1:5" x14ac:dyDescent="0.4">
      <c r="A87" s="45" t="s">
        <v>88</v>
      </c>
      <c r="B87" s="46">
        <f>HLOOKUP(SUBSTITUTE(CONCATENATE(SUBSTITUTE(SUBSTITUTE(A87,"歳","")," ",""),"_男")," ",""),[3]データ貼り付けシート!$1:$2,2,FALSE)</f>
        <v>199</v>
      </c>
      <c r="C87" s="46">
        <f>HLOOKUP(SUBSTITUTE(CONCATENATE(SUBSTITUTE(SUBSTITUTE(A87,"歳","")," ",""),"_女")," ",""),[3]データ貼り付けシート!$1:$2,2,FALSE)</f>
        <v>280</v>
      </c>
      <c r="D87" s="46">
        <f>HLOOKUP(SUBSTITUTE(CONCATENATE(SUBSTITUTE(SUBSTITUTE(A87,"歳","")," ",""),"_全体")," ",""),[3]データ貼り付けシート!$1:$2,2,FALSE)</f>
        <v>479</v>
      </c>
      <c r="E87" s="44"/>
    </row>
    <row r="88" spans="1:5" x14ac:dyDescent="0.4">
      <c r="A88" s="45" t="s">
        <v>89</v>
      </c>
      <c r="B88" s="46">
        <f>HLOOKUP(SUBSTITUTE(CONCATENATE(SUBSTITUTE(SUBSTITUTE(A88,"歳","")," ",""),"_男")," ",""),[3]データ貼り付けシート!$1:$2,2,FALSE)</f>
        <v>141</v>
      </c>
      <c r="C88" s="46">
        <f>HLOOKUP(SUBSTITUTE(CONCATENATE(SUBSTITUTE(SUBSTITUTE(A88,"歳","")," ",""),"_女")," ",""),[3]データ貼り付けシート!$1:$2,2,FALSE)</f>
        <v>273</v>
      </c>
      <c r="D88" s="46">
        <f>HLOOKUP(SUBSTITUTE(CONCATENATE(SUBSTITUTE(SUBSTITUTE(A88,"歳","")," ",""),"_全体")," ",""),[3]データ貼り付けシート!$1:$2,2,FALSE)</f>
        <v>414</v>
      </c>
      <c r="E88" s="44"/>
    </row>
    <row r="89" spans="1:5" x14ac:dyDescent="0.4">
      <c r="A89" s="45" t="s">
        <v>90</v>
      </c>
      <c r="B89" s="46">
        <f>HLOOKUP(SUBSTITUTE(CONCATENATE(SUBSTITUTE(SUBSTITUTE(A89,"歳","")," ",""),"_男")," ",""),[3]データ貼り付けシート!$1:$2,2,FALSE)</f>
        <v>142</v>
      </c>
      <c r="C89" s="46">
        <f>HLOOKUP(SUBSTITUTE(CONCATENATE(SUBSTITUTE(SUBSTITUTE(A89,"歳","")," ",""),"_女")," ",""),[3]データ貼り付けシート!$1:$2,2,FALSE)</f>
        <v>229</v>
      </c>
      <c r="D89" s="46">
        <f>HLOOKUP(SUBSTITUTE(CONCATENATE(SUBSTITUTE(SUBSTITUTE(A89,"歳","")," ",""),"_全体")," ",""),[3]データ貼り付けシート!$1:$2,2,FALSE)</f>
        <v>371</v>
      </c>
      <c r="E89" s="44"/>
    </row>
    <row r="90" spans="1:5" x14ac:dyDescent="0.4">
      <c r="A90" s="45" t="s">
        <v>91</v>
      </c>
      <c r="B90" s="46">
        <f>HLOOKUP(SUBSTITUTE(CONCATENATE(SUBSTITUTE(SUBSTITUTE(A90,"歳","")," ",""),"_男")," ",""),[3]データ貼り付けシート!$1:$2,2,FALSE)</f>
        <v>108</v>
      </c>
      <c r="C90" s="46">
        <f>HLOOKUP(SUBSTITUTE(CONCATENATE(SUBSTITUTE(SUBSTITUTE(A90,"歳","")," ",""),"_女")," ",""),[3]データ貼り付けシート!$1:$2,2,FALSE)</f>
        <v>191</v>
      </c>
      <c r="D90" s="46">
        <f>HLOOKUP(SUBSTITUTE(CONCATENATE(SUBSTITUTE(SUBSTITUTE(A90,"歳","")," ",""),"_全体")," ",""),[3]データ貼り付けシート!$1:$2,2,FALSE)</f>
        <v>299</v>
      </c>
      <c r="E90" s="44"/>
    </row>
    <row r="91" spans="1:5" x14ac:dyDescent="0.4">
      <c r="A91" s="45" t="s">
        <v>92</v>
      </c>
      <c r="B91" s="46">
        <f>HLOOKUP(SUBSTITUTE(CONCATENATE(SUBSTITUTE(SUBSTITUTE(A91,"歳","")," ",""),"_男")," ",""),[3]データ貼り付けシート!$1:$2,2,FALSE)</f>
        <v>98</v>
      </c>
      <c r="C91" s="46">
        <f>HLOOKUP(SUBSTITUTE(CONCATENATE(SUBSTITUTE(SUBSTITUTE(A91,"歳","")," ",""),"_女")," ",""),[3]データ貼り付けシート!$1:$2,2,FALSE)</f>
        <v>152</v>
      </c>
      <c r="D91" s="46">
        <f>HLOOKUP(SUBSTITUTE(CONCATENATE(SUBSTITUTE(SUBSTITUTE(A91,"歳","")," ",""),"_全体")," ",""),[3]データ貼り付けシート!$1:$2,2,FALSE)</f>
        <v>250</v>
      </c>
      <c r="E91" s="44"/>
    </row>
    <row r="92" spans="1:5" x14ac:dyDescent="0.4">
      <c r="A92" s="45" t="s">
        <v>93</v>
      </c>
      <c r="B92" s="46">
        <f>HLOOKUP(SUBSTITUTE(CONCATENATE(SUBSTITUTE(SUBSTITUTE(A92,"歳","")," ",""),"_男")," ",""),[3]データ貼り付けシート!$1:$2,2,FALSE)</f>
        <v>56</v>
      </c>
      <c r="C92" s="46">
        <f>HLOOKUP(SUBSTITUTE(CONCATENATE(SUBSTITUTE(SUBSTITUTE(A92,"歳","")," ",""),"_女")," ",""),[3]データ貼り付けシート!$1:$2,2,FALSE)</f>
        <v>163</v>
      </c>
      <c r="D92" s="46">
        <f>HLOOKUP(SUBSTITUTE(CONCATENATE(SUBSTITUTE(SUBSTITUTE(A92,"歳","")," ",""),"_全体")," ",""),[3]データ貼り付けシート!$1:$2,2,FALSE)</f>
        <v>219</v>
      </c>
      <c r="E92" s="44"/>
    </row>
    <row r="93" spans="1:5" x14ac:dyDescent="0.4">
      <c r="A93" s="45" t="s">
        <v>94</v>
      </c>
      <c r="B93" s="46">
        <f>HLOOKUP(SUBSTITUTE(CONCATENATE(SUBSTITUTE(SUBSTITUTE(A93,"歳","")," ",""),"_男")," ",""),[3]データ貼り付けシート!$1:$2,2,FALSE)</f>
        <v>57</v>
      </c>
      <c r="C93" s="46">
        <f>HLOOKUP(SUBSTITUTE(CONCATENATE(SUBSTITUTE(SUBSTITUTE(A93,"歳","")," ",""),"_女")," ",""),[3]データ貼り付けシート!$1:$2,2,FALSE)</f>
        <v>142</v>
      </c>
      <c r="D93" s="46">
        <f>HLOOKUP(SUBSTITUTE(CONCATENATE(SUBSTITUTE(SUBSTITUTE(A93,"歳","")," ",""),"_全体")," ",""),[3]データ貼り付けシート!$1:$2,2,FALSE)</f>
        <v>199</v>
      </c>
      <c r="E93" s="44"/>
    </row>
    <row r="94" spans="1:5" x14ac:dyDescent="0.4">
      <c r="A94" s="45" t="s">
        <v>95</v>
      </c>
      <c r="B94" s="46">
        <f>HLOOKUP(SUBSTITUTE(CONCATENATE(SUBSTITUTE(SUBSTITUTE(A94,"歳","")," ",""),"_男")," ",""),[3]データ貼り付けシート!$1:$2,2,FALSE)</f>
        <v>42</v>
      </c>
      <c r="C94" s="46">
        <f>HLOOKUP(SUBSTITUTE(CONCATENATE(SUBSTITUTE(SUBSTITUTE(A94,"歳","")," ",""),"_女")," ",""),[3]データ貼り付けシート!$1:$2,2,FALSE)</f>
        <v>97</v>
      </c>
      <c r="D94" s="46">
        <f>HLOOKUP(SUBSTITUTE(CONCATENATE(SUBSTITUTE(SUBSTITUTE(A94,"歳","")," ",""),"_全体")," ",""),[3]データ貼り付けシート!$1:$2,2,FALSE)</f>
        <v>139</v>
      </c>
      <c r="E94" s="44"/>
    </row>
    <row r="95" spans="1:5" x14ac:dyDescent="0.4">
      <c r="A95" s="45" t="s">
        <v>96</v>
      </c>
      <c r="B95" s="46">
        <f>HLOOKUP(SUBSTITUTE(CONCATENATE(SUBSTITUTE(SUBSTITUTE(A95,"歳","")," ",""),"_男")," ",""),[3]データ貼り付けシート!$1:$2,2,FALSE)</f>
        <v>31</v>
      </c>
      <c r="C95" s="46">
        <f>HLOOKUP(SUBSTITUTE(CONCATENATE(SUBSTITUTE(SUBSTITUTE(A95,"歳","")," ",""),"_女")," ",""),[3]データ貼り付けシート!$1:$2,2,FALSE)</f>
        <v>101</v>
      </c>
      <c r="D95" s="46">
        <f>HLOOKUP(SUBSTITUTE(CONCATENATE(SUBSTITUTE(SUBSTITUTE(A95,"歳","")," ",""),"_全体")," ",""),[3]データ貼り付けシート!$1:$2,2,FALSE)</f>
        <v>132</v>
      </c>
      <c r="E95" s="44"/>
    </row>
    <row r="96" spans="1:5" x14ac:dyDescent="0.4">
      <c r="A96" s="45" t="s">
        <v>97</v>
      </c>
      <c r="B96" s="46">
        <f>HLOOKUP(SUBSTITUTE(CONCATENATE(SUBSTITUTE(SUBSTITUTE(A96,"歳","")," ",""),"_男")," ",""),[3]データ貼り付けシート!$1:$2,2,FALSE)</f>
        <v>27</v>
      </c>
      <c r="C96" s="46">
        <f>HLOOKUP(SUBSTITUTE(CONCATENATE(SUBSTITUTE(SUBSTITUTE(A96,"歳","")," ",""),"_女")," ",""),[3]データ貼り付けシート!$1:$2,2,FALSE)</f>
        <v>74</v>
      </c>
      <c r="D96" s="46">
        <f>HLOOKUP(SUBSTITUTE(CONCATENATE(SUBSTITUTE(SUBSTITUTE(A96,"歳","")," ",""),"_全体")," ",""),[3]データ貼り付けシート!$1:$2,2,FALSE)</f>
        <v>101</v>
      </c>
      <c r="E96" s="44"/>
    </row>
    <row r="97" spans="1:5" x14ac:dyDescent="0.4">
      <c r="A97" s="45" t="s">
        <v>98</v>
      </c>
      <c r="B97" s="46">
        <f>HLOOKUP(SUBSTITUTE(CONCATENATE(SUBSTITUTE(SUBSTITUTE(A97,"歳","")," ",""),"_男")," ",""),[3]データ貼り付けシート!$1:$2,2,FALSE)</f>
        <v>12</v>
      </c>
      <c r="C97" s="46">
        <f>HLOOKUP(SUBSTITUTE(CONCATENATE(SUBSTITUTE(SUBSTITUTE(A97,"歳","")," ",""),"_女")," ",""),[3]データ貼り付けシート!$1:$2,2,FALSE)</f>
        <v>65</v>
      </c>
      <c r="D97" s="46">
        <f>HLOOKUP(SUBSTITUTE(CONCATENATE(SUBSTITUTE(SUBSTITUTE(A97,"歳","")," ",""),"_全体")," ",""),[3]データ貼り付けシート!$1:$2,2,FALSE)</f>
        <v>77</v>
      </c>
      <c r="E97" s="44"/>
    </row>
    <row r="98" spans="1:5" x14ac:dyDescent="0.4">
      <c r="A98" s="45" t="s">
        <v>99</v>
      </c>
      <c r="B98" s="46">
        <f>HLOOKUP(SUBSTITUTE(CONCATENATE(SUBSTITUTE(SUBSTITUTE(A98,"歳","")," ",""),"_男")," ",""),[3]データ貼り付けシート!$1:$2,2,FALSE)</f>
        <v>9</v>
      </c>
      <c r="C98" s="46">
        <f>HLOOKUP(SUBSTITUTE(CONCATENATE(SUBSTITUTE(SUBSTITUTE(A98,"歳","")," ",""),"_女")," ",""),[3]データ貼り付けシート!$1:$2,2,FALSE)</f>
        <v>49</v>
      </c>
      <c r="D98" s="46">
        <f>HLOOKUP(SUBSTITUTE(CONCATENATE(SUBSTITUTE(SUBSTITUTE(A98,"歳","")," ",""),"_全体")," ",""),[3]データ貼り付けシート!$1:$2,2,FALSE)</f>
        <v>58</v>
      </c>
      <c r="E98" s="44"/>
    </row>
    <row r="99" spans="1:5" x14ac:dyDescent="0.4">
      <c r="A99" s="45" t="s">
        <v>100</v>
      </c>
      <c r="B99" s="46">
        <f>HLOOKUP(SUBSTITUTE(CONCATENATE(SUBSTITUTE(SUBSTITUTE(A99,"歳","")," ",""),"_男")," ",""),[3]データ貼り付けシート!$1:$2,2,FALSE)</f>
        <v>7</v>
      </c>
      <c r="C99" s="46">
        <f>HLOOKUP(SUBSTITUTE(CONCATENATE(SUBSTITUTE(SUBSTITUTE(A99,"歳","")," ",""),"_女")," ",""),[3]データ貼り付けシート!$1:$2,2,FALSE)</f>
        <v>32</v>
      </c>
      <c r="D99" s="46">
        <f>HLOOKUP(SUBSTITUTE(CONCATENATE(SUBSTITUTE(SUBSTITUTE(A99,"歳","")," ",""),"_全体")," ",""),[3]データ貼り付けシート!$1:$2,2,FALSE)</f>
        <v>39</v>
      </c>
      <c r="E99" s="44"/>
    </row>
    <row r="100" spans="1:5" x14ac:dyDescent="0.4">
      <c r="A100" s="45" t="s">
        <v>101</v>
      </c>
      <c r="B100" s="46">
        <f>HLOOKUP(SUBSTITUTE(CONCATENATE(SUBSTITUTE(SUBSTITUTE(A100,"歳","")," ",""),"_男")," ",""),[3]データ貼り付けシート!$1:$2,2,FALSE)</f>
        <v>6</v>
      </c>
      <c r="C100" s="46">
        <f>HLOOKUP(SUBSTITUTE(CONCATENATE(SUBSTITUTE(SUBSTITUTE(A100,"歳","")," ",""),"_女")," ",""),[3]データ貼り付けシート!$1:$2,2,FALSE)</f>
        <v>30</v>
      </c>
      <c r="D100" s="46">
        <f>HLOOKUP(SUBSTITUTE(CONCATENATE(SUBSTITUTE(SUBSTITUTE(A100,"歳","")," ",""),"_全体")," ",""),[3]データ貼り付けシート!$1:$2,2,FALSE)</f>
        <v>36</v>
      </c>
      <c r="E100" s="44"/>
    </row>
    <row r="101" spans="1:5" x14ac:dyDescent="0.4">
      <c r="A101" s="45" t="s">
        <v>102</v>
      </c>
      <c r="B101" s="46">
        <f>HLOOKUP(SUBSTITUTE(CONCATENATE(SUBSTITUTE(SUBSTITUTE(A101,"歳","")," ",""),"_男")," ",""),[3]データ貼り付けシート!$1:$2,2,FALSE)</f>
        <v>5</v>
      </c>
      <c r="C101" s="46">
        <f>HLOOKUP(SUBSTITUTE(CONCATENATE(SUBSTITUTE(SUBSTITUTE(A101,"歳","")," ",""),"_女")," ",""),[3]データ貼り付けシート!$1:$2,2,FALSE)</f>
        <v>19</v>
      </c>
      <c r="D101" s="46">
        <f>HLOOKUP(SUBSTITUTE(CONCATENATE(SUBSTITUTE(SUBSTITUTE(A101,"歳","")," ",""),"_全体")," ",""),[3]データ貼り付けシート!$1:$2,2,FALSE)</f>
        <v>24</v>
      </c>
      <c r="E101" s="44"/>
    </row>
    <row r="102" spans="1:5" x14ac:dyDescent="0.4">
      <c r="A102" s="45" t="s">
        <v>103</v>
      </c>
      <c r="B102" s="46">
        <f>HLOOKUP(SUBSTITUTE(CONCATENATE(SUBSTITUTE(SUBSTITUTE(A102,"歳","")," ",""),"_男")," ",""),[3]データ貼り付けシート!$1:$2,2,FALSE)</f>
        <v>0</v>
      </c>
      <c r="C102" s="46">
        <f>HLOOKUP(SUBSTITUTE(CONCATENATE(SUBSTITUTE(SUBSTITUTE(A102,"歳","")," ",""),"_女")," ",""),[3]データ貼り付けシート!$1:$2,2,FALSE)</f>
        <v>21</v>
      </c>
      <c r="D102" s="46">
        <f>HLOOKUP(SUBSTITUTE(CONCATENATE(SUBSTITUTE(SUBSTITUTE(A102,"歳","")," ",""),"_全体")," ",""),[3]データ貼り付けシート!$1:$2,2,FALSE)</f>
        <v>21</v>
      </c>
      <c r="E102" s="44"/>
    </row>
    <row r="103" spans="1:5" x14ac:dyDescent="0.4">
      <c r="A103" s="45" t="s">
        <v>104</v>
      </c>
      <c r="B103" s="46">
        <f>HLOOKUP(SUBSTITUTE(CONCATENATE(SUBSTITUTE(SUBSTITUTE(A103,"歳","")," ",""),"_男")," ",""),[3]データ貼り付けシート!$1:$2,2,FALSE)</f>
        <v>1</v>
      </c>
      <c r="C103" s="46">
        <f>HLOOKUP(SUBSTITUTE(CONCATENATE(SUBSTITUTE(SUBSTITUTE(A103,"歳","")," ",""),"_女")," ",""),[3]データ貼り付けシート!$1:$2,2,FALSE)</f>
        <v>4</v>
      </c>
      <c r="D103" s="46">
        <f>HLOOKUP(SUBSTITUTE(CONCATENATE(SUBSTITUTE(SUBSTITUTE(A103,"歳","")," ",""),"_全体")," ",""),[3]データ貼り付けシート!$1:$2,2,FALSE)</f>
        <v>5</v>
      </c>
      <c r="E103" s="44"/>
    </row>
    <row r="104" spans="1:5" x14ac:dyDescent="0.4">
      <c r="A104" s="45" t="s">
        <v>105</v>
      </c>
      <c r="B104" s="46">
        <f>HLOOKUP(SUBSTITUTE(CONCATENATE(SUBSTITUTE(SUBSTITUTE(A104,"歳","")," ",""),"_男")," ",""),[3]データ貼り付けシート!$1:$2,2,FALSE)</f>
        <v>0</v>
      </c>
      <c r="C104" s="46">
        <f>HLOOKUP(SUBSTITUTE(CONCATENATE(SUBSTITUTE(SUBSTITUTE(A104,"歳","")," ",""),"_女")," ",""),[3]データ貼り付けシート!$1:$2,2,FALSE)</f>
        <v>4</v>
      </c>
      <c r="D104" s="46">
        <f>HLOOKUP(SUBSTITUTE(CONCATENATE(SUBSTITUTE(SUBSTITUTE(A104,"歳","")," ",""),"_全体")," ",""),[3]データ貼り付けシート!$1:$2,2,FALSE)</f>
        <v>4</v>
      </c>
      <c r="E104" s="44"/>
    </row>
    <row r="105" spans="1:5" x14ac:dyDescent="0.4">
      <c r="A105" s="45" t="s">
        <v>106</v>
      </c>
      <c r="B105" s="46">
        <f>HLOOKUP(SUBSTITUTE(CONCATENATE(SUBSTITUTE(SUBSTITUTE(A105,"歳","")," ",""),"_男")," ",""),[3]データ貼り付けシート!$1:$2,2,FALSE)</f>
        <v>1</v>
      </c>
      <c r="C105" s="46">
        <f>HLOOKUP(SUBSTITUTE(CONCATENATE(SUBSTITUTE(SUBSTITUTE(A105,"歳","")," ",""),"_女")," ",""),[3]データ貼り付けシート!$1:$2,2,FALSE)</f>
        <v>2</v>
      </c>
      <c r="D105" s="46">
        <f>HLOOKUP(SUBSTITUTE(CONCATENATE(SUBSTITUTE(SUBSTITUTE(A105,"歳","")," ",""),"_全体")," ",""),[3]データ貼り付けシート!$1:$2,2,FALSE)</f>
        <v>3</v>
      </c>
      <c r="E105" s="44"/>
    </row>
    <row r="106" spans="1:5" x14ac:dyDescent="0.4">
      <c r="A106" s="45" t="s">
        <v>107</v>
      </c>
      <c r="B106" s="46">
        <f>HLOOKUP(SUBSTITUTE(CONCATENATE(SUBSTITUTE(SUBSTITUTE(A106,"歳","")," ",""),"_男")," ",""),[3]データ貼り付けシート!$1:$2,2,FALSE)</f>
        <v>1</v>
      </c>
      <c r="C106" s="46">
        <f>HLOOKUP(SUBSTITUTE(CONCATENATE(SUBSTITUTE(SUBSTITUTE(A106,"歳","")," ",""),"_女")," ",""),[3]データ貼り付けシート!$1:$2,2,FALSE)</f>
        <v>4</v>
      </c>
      <c r="D106" s="46">
        <f>HLOOKUP(SUBSTITUTE(CONCATENATE(SUBSTITUTE(SUBSTITUTE(A106,"歳","")," ",""),"_全体")," ",""),[3]データ貼り付けシート!$1:$2,2,FALSE)</f>
        <v>5</v>
      </c>
      <c r="E106" s="44"/>
    </row>
    <row r="107" spans="1:5" x14ac:dyDescent="0.4">
      <c r="A107" s="45" t="s">
        <v>108</v>
      </c>
      <c r="B107" s="46">
        <f>HLOOKUP(SUBSTITUTE(CONCATENATE(SUBSTITUTE(SUBSTITUTE(A107,"歳","")," ",""),"_男")," ",""),[3]データ貼り付けシート!$1:$2,2,FALSE)</f>
        <v>0</v>
      </c>
      <c r="C107" s="46">
        <f>HLOOKUP(SUBSTITUTE(CONCATENATE(SUBSTITUTE(SUBSTITUTE(A107,"歳","")," ",""),"_女")," ",""),[3]データ貼り付けシート!$1:$2,2,FALSE)</f>
        <v>2</v>
      </c>
      <c r="D107" s="46">
        <f>HLOOKUP(SUBSTITUTE(CONCATENATE(SUBSTITUTE(SUBSTITUTE(A107,"歳","")," ",""),"_全体")," ",""),[3]データ貼り付けシート!$1:$2,2,FALSE)</f>
        <v>2</v>
      </c>
      <c r="E107" s="44"/>
    </row>
    <row r="108" spans="1:5" x14ac:dyDescent="0.4">
      <c r="A108" s="45" t="s">
        <v>147</v>
      </c>
      <c r="B108" s="46">
        <f>IF(ISERROR(HLOOKUP("105以上_男",[3]データ貼り付けシート!$1:$2,2,FALSE)),0,HLOOKUP("105以上_男",[3]データ貼り付けシート!$1:$2,2,FALSE))+IF(ISERROR(HLOOKUP("105_男",[3]データ貼り付けシート!$1:$2,2,FALSE)),0,HLOOKUP("105_男",[3]データ貼り付けシート!$1:$2,2,FALSE))</f>
        <v>0</v>
      </c>
      <c r="C108" s="46">
        <f>IF(ISERROR(HLOOKUP("105以上_女",[3]データ貼り付けシート!$1:$2,2,FALSE)),0,HLOOKUP("105以上_女",[3]データ貼り付けシート!$1:$2,2,FALSE))+IF(ISERROR(HLOOKUP("105_女",[3]データ貼り付けシート!$1:$2,2,FALSE)),0,HLOOKUP("105_女",[3]データ貼り付けシート!$1:$2,2,FALSE))</f>
        <v>1</v>
      </c>
      <c r="D108" s="46">
        <f>B108+C108</f>
        <v>1</v>
      </c>
      <c r="E108" s="44"/>
    </row>
    <row r="109" spans="1:5" x14ac:dyDescent="0.4">
      <c r="A109" s="45" t="s">
        <v>148</v>
      </c>
      <c r="B109" s="46">
        <f>IF(ISERROR(HLOOKUP("106以上_男",[3]データ貼り付けシート!$1:$2,2,FALSE)),0,HLOOKUP("106以上_男",[3]データ貼り付けシート!$1:$2,2,FALSE))+IF(ISERROR(HLOOKUP("106_男",[3]データ貼り付けシート!$1:$2,2,FALSE)),0,HLOOKUP("106_男",[3]データ貼り付けシート!$1:$2,2,FALSE))</f>
        <v>0</v>
      </c>
      <c r="C109" s="46">
        <f>IF(ISERROR(HLOOKUP("106以上_女",[3]データ貼り付けシート!$1:$2,2,FALSE)),0,HLOOKUP("106以上_女",[3]データ貼り付けシート!$1:$2,2,FALSE))+IF(ISERROR(HLOOKUP("106_女",[3]データ貼り付けシート!$1:$2,2,FALSE)),0,HLOOKUP("106_女",[3]データ貼り付けシート!$1:$2,2,FALSE))</f>
        <v>1</v>
      </c>
      <c r="D109" s="46">
        <f>B109+C109</f>
        <v>1</v>
      </c>
      <c r="E109" s="44"/>
    </row>
    <row r="110" spans="1:5" x14ac:dyDescent="0.4">
      <c r="A110" s="45" t="s">
        <v>149</v>
      </c>
      <c r="B110" s="46">
        <f>IF(ISERROR(HLOOKUP("107以上_男",[3]データ貼り付けシート!$1:$2,2,FALSE)),0,HLOOKUP("107以上_男",[3]データ貼り付けシート!$1:$2,2,FALSE))+IF(ISERROR(HLOOKUP("107_男",[3]データ貼り付けシート!$1:$2,2,FALSE)),0,HLOOKUP("107_男",[3]データ貼り付けシート!$1:$2,2,FALSE))</f>
        <v>0</v>
      </c>
      <c r="C110" s="46">
        <f>IF(ISERROR(HLOOKUP("107以上_女",[3]データ貼り付けシート!$1:$2,2,FALSE)),0,HLOOKUP("107以上_女",[3]データ貼り付けシート!$1:$2,2,FALSE))+IF(ISERROR(HLOOKUP("107_女",[3]データ貼り付けシート!$1:$2,2,FALSE)),0,HLOOKUP("107_女",[3]データ貼り付けシート!$1:$2,2,FALSE))</f>
        <v>0</v>
      </c>
      <c r="D110" s="46">
        <f>B110+C110</f>
        <v>0</v>
      </c>
      <c r="E110" s="44"/>
    </row>
    <row r="111" spans="1:5" x14ac:dyDescent="0.4">
      <c r="A111" s="45" t="s">
        <v>150</v>
      </c>
      <c r="B111" s="46">
        <f>IF(ISERROR(HLOOKUP("108以上_男",[3]データ貼り付けシート!$1:$2,2,FALSE)),0,HLOOKUP("108以上_男",[3]データ貼り付けシート!$1:$2,2,FALSE))+IF(ISERROR(HLOOKUP("108_男",[3]データ貼り付けシート!$1:$2,2,FALSE)),0,HLOOKUP("108_男",[3]データ貼り付けシート!$1:$2,2,FALSE))</f>
        <v>0</v>
      </c>
      <c r="C111" s="46">
        <f>IF(ISERROR(HLOOKUP("108以上_女",[3]データ貼り付けシート!$1:$2,2,FALSE)),0,HLOOKUP("108以上_女",[3]データ貼り付けシート!$1:$2,2,FALSE))+IF(ISERROR(HLOOKUP("108_女",[3]データ貼り付けシート!$1:$2,2,FALSE)),0,HLOOKUP("108_女",[3]データ貼り付けシート!$1:$2,2,FALSE))</f>
        <v>0</v>
      </c>
      <c r="D111" s="46">
        <f t="shared" ref="D111:D113" si="0">B111+C111</f>
        <v>0</v>
      </c>
      <c r="E111" s="44"/>
    </row>
    <row r="112" spans="1:5" x14ac:dyDescent="0.4">
      <c r="A112" s="45" t="s">
        <v>151</v>
      </c>
      <c r="B112" s="46">
        <f>IF(ISERROR(HLOOKUP("109以上_男",[3]データ貼り付けシート!$1:$2,2,FALSE)),0,HLOOKUP("109以上_男",[3]データ貼り付けシート!$1:$2,2,FALSE))+IF(ISERROR(HLOOKUP("109_男",[3]データ貼り付けシート!$1:$2,2,FALSE)),0,HLOOKUP("109_男",[3]データ貼り付けシート!$1:$2,2,FALSE))</f>
        <v>0</v>
      </c>
      <c r="C112" s="46">
        <f>IF(ISERROR(HLOOKUP("109以上_女",[3]データ貼り付けシート!$1:$2,2,FALSE)),0,HLOOKUP("109以上_女",[3]データ貼り付けシート!$1:$2,2,FALSE))+IF(ISERROR(HLOOKUP("109_女",[3]データ貼り付けシート!$1:$2,2,FALSE)),0,HLOOKUP("109_女",[3]データ貼り付けシート!$1:$2,2,FALSE))</f>
        <v>0</v>
      </c>
      <c r="D112" s="46">
        <f t="shared" si="0"/>
        <v>0</v>
      </c>
      <c r="E112" s="44"/>
    </row>
    <row r="113" spans="1:5" x14ac:dyDescent="0.4">
      <c r="A113" s="45" t="s">
        <v>152</v>
      </c>
      <c r="B113" s="46">
        <f>IF(ISERROR(HLOOKUP("110以上_男",[3]データ貼り付けシート!$1:$2,2,FALSE)),0,HLOOKUP("110以上_男",[3]データ貼り付けシート!$1:$2,2,FALSE))+IF(ISERROR(HLOOKUP("110_男",[3]データ貼り付けシート!$1:$2,2,FALSE)),0,HLOOKUP("110_男",[3]データ貼り付けシート!$1:$2,2,FALSE))</f>
        <v>0</v>
      </c>
      <c r="C113" s="46">
        <f>IF(ISERROR(HLOOKUP("110以上_女",[3]データ貼り付けシート!$1:$2,2,FALSE)),0,HLOOKUP("107以上_女",[3]データ貼り付けシート!$1:$2,2,FALSE))+IF(ISERROR(HLOOKUP("110_女",[3]データ貼り付けシート!$1:$2,2,FALSE)),0,HLOOKUP("110_女",[3]データ貼り付けシート!$1:$2,2,FALSE))</f>
        <v>0</v>
      </c>
      <c r="D113" s="46">
        <f t="shared" si="0"/>
        <v>0</v>
      </c>
      <c r="E113" s="44"/>
    </row>
    <row r="114" spans="1:5" x14ac:dyDescent="0.4">
      <c r="A114" s="44"/>
      <c r="B114" s="47"/>
      <c r="C114" s="47"/>
      <c r="D114" s="47"/>
      <c r="E114" s="44"/>
    </row>
    <row r="115" spans="1:5" x14ac:dyDescent="0.4">
      <c r="A115" s="48" t="s">
        <v>0</v>
      </c>
      <c r="B115" s="48" t="s">
        <v>1</v>
      </c>
      <c r="C115" s="49" t="s">
        <v>2</v>
      </c>
      <c r="D115" s="43" t="s">
        <v>3</v>
      </c>
      <c r="E115" s="44"/>
    </row>
    <row r="116" spans="1:5" x14ac:dyDescent="0.4">
      <c r="A116" s="48" t="s">
        <v>115</v>
      </c>
      <c r="B116" s="50">
        <f>SUM(B3:B8)</f>
        <v>2370</v>
      </c>
      <c r="C116" s="51">
        <f>SUM(C3:C8)</f>
        <v>2243</v>
      </c>
      <c r="D116" s="46">
        <f>B116+C116</f>
        <v>4613</v>
      </c>
      <c r="E116" s="44"/>
    </row>
    <row r="117" spans="1:5" x14ac:dyDescent="0.4">
      <c r="A117" s="48" t="s">
        <v>116</v>
      </c>
      <c r="B117" s="50">
        <f>SUM(B9:B14)</f>
        <v>2193</v>
      </c>
      <c r="C117" s="50">
        <f>SUM(C9:C14)</f>
        <v>2152</v>
      </c>
      <c r="D117" s="46">
        <f>B117+C117</f>
        <v>4345</v>
      </c>
      <c r="E117" s="44"/>
    </row>
    <row r="118" spans="1:5" x14ac:dyDescent="0.4">
      <c r="A118" s="48" t="s">
        <v>117</v>
      </c>
      <c r="B118" s="50">
        <f>SUM(B15:B17)</f>
        <v>1184</v>
      </c>
      <c r="C118" s="50">
        <f>SUM(C15:C17)</f>
        <v>1065</v>
      </c>
      <c r="D118" s="46">
        <f>B118+C118</f>
        <v>2249</v>
      </c>
      <c r="E118" s="44"/>
    </row>
    <row r="119" spans="1:5" x14ac:dyDescent="0.4">
      <c r="A119" s="48" t="s">
        <v>153</v>
      </c>
      <c r="B119" s="50">
        <f>SUM(B116:B118)</f>
        <v>5747</v>
      </c>
      <c r="C119" s="50">
        <f>SUM(C116:C118)</f>
        <v>5460</v>
      </c>
      <c r="D119" s="50">
        <f>SUM(D116:D118)</f>
        <v>11207</v>
      </c>
      <c r="E119" s="52">
        <f>D119/D135</f>
        <v>0.13015806650174791</v>
      </c>
    </row>
    <row r="120" spans="1:5" x14ac:dyDescent="0.4">
      <c r="A120" s="44"/>
      <c r="B120" s="44"/>
      <c r="C120" s="44"/>
      <c r="D120" s="44"/>
      <c r="E120" s="44"/>
    </row>
    <row r="121" spans="1:5" x14ac:dyDescent="0.4">
      <c r="A121" s="43" t="s">
        <v>0</v>
      </c>
      <c r="B121" s="43" t="s">
        <v>1</v>
      </c>
      <c r="C121" s="43" t="s">
        <v>2</v>
      </c>
      <c r="D121" s="43" t="s">
        <v>3</v>
      </c>
      <c r="E121" s="44"/>
    </row>
    <row r="122" spans="1:5" x14ac:dyDescent="0.4">
      <c r="A122" s="43" t="s">
        <v>119</v>
      </c>
      <c r="B122" s="46">
        <f>SUM(B18:B20)</f>
        <v>1197</v>
      </c>
      <c r="C122" s="46">
        <f>SUM(C18:C20)</f>
        <v>1152</v>
      </c>
      <c r="D122" s="46">
        <f t="shared" ref="D122:D126" si="1">B122+C122</f>
        <v>2349</v>
      </c>
      <c r="E122" s="44"/>
    </row>
    <row r="123" spans="1:5" x14ac:dyDescent="0.4">
      <c r="A123" s="43" t="s">
        <v>120</v>
      </c>
      <c r="B123" s="46">
        <f>SUM(B21:B32)</f>
        <v>5803</v>
      </c>
      <c r="C123" s="46">
        <f>SUM(C21:C32)</f>
        <v>5445</v>
      </c>
      <c r="D123" s="46">
        <f t="shared" si="1"/>
        <v>11248</v>
      </c>
      <c r="E123" s="44"/>
    </row>
    <row r="124" spans="1:5" x14ac:dyDescent="0.4">
      <c r="A124" s="43" t="s">
        <v>121</v>
      </c>
      <c r="B124" s="46">
        <f>SUM(B33:B42)</f>
        <v>5618</v>
      </c>
      <c r="C124" s="46">
        <f>SUM(C33:C42)</f>
        <v>5325</v>
      </c>
      <c r="D124" s="46">
        <f t="shared" si="1"/>
        <v>10943</v>
      </c>
      <c r="E124" s="44"/>
    </row>
    <row r="125" spans="1:5" x14ac:dyDescent="0.4">
      <c r="A125" s="43" t="s">
        <v>122</v>
      </c>
      <c r="B125" s="46">
        <f>SUM(B43:B52)</f>
        <v>7369</v>
      </c>
      <c r="C125" s="46">
        <f>SUM(C43:C52)</f>
        <v>6711</v>
      </c>
      <c r="D125" s="46">
        <f t="shared" si="1"/>
        <v>14080</v>
      </c>
      <c r="E125" s="44"/>
    </row>
    <row r="126" spans="1:5" x14ac:dyDescent="0.4">
      <c r="A126" s="53" t="s">
        <v>123</v>
      </c>
      <c r="B126" s="46">
        <f>SUM(B53:B67)</f>
        <v>7360</v>
      </c>
      <c r="C126" s="46">
        <f>SUM(C53:C67)</f>
        <v>6887</v>
      </c>
      <c r="D126" s="46">
        <f t="shared" si="1"/>
        <v>14247</v>
      </c>
      <c r="E126" s="44"/>
    </row>
    <row r="127" spans="1:5" ht="24" x14ac:dyDescent="0.4">
      <c r="A127" s="48" t="s">
        <v>154</v>
      </c>
      <c r="B127" s="51">
        <f>SUM(B122:B126)</f>
        <v>27347</v>
      </c>
      <c r="C127" s="51">
        <f>SUM(C122:C126)</f>
        <v>25520</v>
      </c>
      <c r="D127" s="51">
        <f>SUM(D122:D126)</f>
        <v>52867</v>
      </c>
      <c r="E127" s="52">
        <f>D127/D135</f>
        <v>0.61399718941268011</v>
      </c>
    </row>
    <row r="128" spans="1:5" x14ac:dyDescent="0.4">
      <c r="A128" s="44"/>
      <c r="B128" s="44"/>
      <c r="C128" s="44"/>
      <c r="D128" s="44"/>
      <c r="E128" s="44"/>
    </row>
    <row r="129" spans="1:5" x14ac:dyDescent="0.4">
      <c r="A129" s="43" t="s">
        <v>0</v>
      </c>
      <c r="B129" s="43" t="s">
        <v>1</v>
      </c>
      <c r="C129" s="43" t="s">
        <v>2</v>
      </c>
      <c r="D129" s="43" t="s">
        <v>3</v>
      </c>
      <c r="E129" s="44"/>
    </row>
    <row r="130" spans="1:5" x14ac:dyDescent="0.4">
      <c r="A130" s="43" t="s">
        <v>125</v>
      </c>
      <c r="B130" s="46">
        <f>SUM(B68:B72)</f>
        <v>2598</v>
      </c>
      <c r="C130" s="46">
        <f>SUM(C68:C72)</f>
        <v>2868</v>
      </c>
      <c r="D130" s="46">
        <f t="shared" ref="D130:D131" si="2">B130+C130</f>
        <v>5466</v>
      </c>
      <c r="E130" s="44"/>
    </row>
    <row r="131" spans="1:5" x14ac:dyDescent="0.4">
      <c r="A131" s="53" t="s">
        <v>126</v>
      </c>
      <c r="B131" s="46">
        <f>SUM(B73:B113)</f>
        <v>7179</v>
      </c>
      <c r="C131" s="46">
        <f>SUM(C73:C113)</f>
        <v>9384</v>
      </c>
      <c r="D131" s="46">
        <f t="shared" si="2"/>
        <v>16563</v>
      </c>
      <c r="E131" s="44"/>
    </row>
    <row r="132" spans="1:5" x14ac:dyDescent="0.4">
      <c r="A132" s="48" t="s">
        <v>155</v>
      </c>
      <c r="B132" s="51">
        <f>SUM(B130:B131)</f>
        <v>9777</v>
      </c>
      <c r="C132" s="51">
        <f>SUM(C130:C131)</f>
        <v>12252</v>
      </c>
      <c r="D132" s="51">
        <f>SUM(D130:D131)</f>
        <v>22029</v>
      </c>
      <c r="E132" s="52">
        <f>D132/D135</f>
        <v>0.25584474408557195</v>
      </c>
    </row>
    <row r="133" spans="1:5" x14ac:dyDescent="0.4">
      <c r="A133" s="44"/>
      <c r="B133" s="44"/>
      <c r="C133" s="44"/>
      <c r="D133" s="44"/>
      <c r="E133" s="44"/>
    </row>
    <row r="134" spans="1:5" x14ac:dyDescent="0.4">
      <c r="A134" s="151" t="s">
        <v>128</v>
      </c>
      <c r="B134" s="43" t="s">
        <v>1</v>
      </c>
      <c r="C134" s="43" t="s">
        <v>2</v>
      </c>
      <c r="D134" s="43" t="s">
        <v>3</v>
      </c>
      <c r="E134" s="44"/>
    </row>
    <row r="135" spans="1:5" x14ac:dyDescent="0.4">
      <c r="A135" s="152"/>
      <c r="B135" s="46">
        <f>SUM(B3:B113)</f>
        <v>42871</v>
      </c>
      <c r="C135" s="46">
        <f>SUM(C3:C113)</f>
        <v>43232</v>
      </c>
      <c r="D135" s="46">
        <f>B135+C135</f>
        <v>86103</v>
      </c>
      <c r="E135" s="44"/>
    </row>
    <row r="137" spans="1:5" x14ac:dyDescent="0.4">
      <c r="A137" s="41" t="s">
        <v>129</v>
      </c>
    </row>
  </sheetData>
  <mergeCells count="2">
    <mergeCell ref="A1:E1"/>
    <mergeCell ref="A134:A135"/>
  </mergeCells>
  <phoneticPr fontId="16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7"/>
  <sheetViews>
    <sheetView topLeftCell="A125" workbookViewId="0">
      <selection sqref="A1:E1"/>
    </sheetView>
  </sheetViews>
  <sheetFormatPr defaultRowHeight="18.75" x14ac:dyDescent="0.4"/>
  <cols>
    <col min="1" max="6" width="9" style="28"/>
    <col min="7" max="7" width="35.125" style="28" bestFit="1" customWidth="1"/>
    <col min="8" max="16384" width="9" style="28"/>
  </cols>
  <sheetData>
    <row r="1" spans="1:7" ht="19.5" x14ac:dyDescent="0.4">
      <c r="A1" s="153" t="s">
        <v>157</v>
      </c>
      <c r="B1" s="153"/>
      <c r="C1" s="153"/>
      <c r="D1" s="153"/>
      <c r="E1" s="153"/>
      <c r="G1" s="29"/>
    </row>
    <row r="2" spans="1:7" x14ac:dyDescent="0.4">
      <c r="A2" s="30" t="s">
        <v>0</v>
      </c>
      <c r="B2" s="30" t="s">
        <v>1</v>
      </c>
      <c r="C2" s="30" t="s">
        <v>2</v>
      </c>
      <c r="D2" s="30" t="s">
        <v>3</v>
      </c>
      <c r="E2" s="31"/>
    </row>
    <row r="3" spans="1:7" x14ac:dyDescent="0.4">
      <c r="A3" s="32" t="s">
        <v>136</v>
      </c>
      <c r="B3" s="33">
        <f>HLOOKUP(SUBSTITUTE(CONCATENATE(SUBSTITUTE(SUBSTITUTE(A3,"歳","")," ",""),"_男")," ",""),[4]データ貼り付けシート!$1:$2,2,FALSE)</f>
        <v>406</v>
      </c>
      <c r="C3" s="33">
        <f>HLOOKUP(SUBSTITUTE(CONCATENATE(SUBSTITUTE(SUBSTITUTE(A3,"歳","")," ",""),"_女")," ",""),[4]データ貼り付けシート!$1:$2,2,FALSE)</f>
        <v>376</v>
      </c>
      <c r="D3" s="33">
        <f>HLOOKUP(SUBSTITUTE(CONCATENATE(SUBSTITUTE(SUBSTITUTE(A3,"歳","")," ",""),"_全体")," ",""),[4]データ貼り付けシート!$1:$2,2,FALSE)</f>
        <v>782</v>
      </c>
      <c r="E3" s="31"/>
    </row>
    <row r="4" spans="1:7" x14ac:dyDescent="0.4">
      <c r="A4" s="32" t="s">
        <v>5</v>
      </c>
      <c r="B4" s="33">
        <f>HLOOKUP(SUBSTITUTE(CONCATENATE(SUBSTITUTE(SUBSTITUTE(A4,"歳","")," ",""),"_男")," ",""),[4]データ貼り付けシート!$1:$2,2,FALSE)</f>
        <v>418</v>
      </c>
      <c r="C4" s="33">
        <f>HLOOKUP(SUBSTITUTE(CONCATENATE(SUBSTITUTE(SUBSTITUTE(A4,"歳","")," ",""),"_女")," ",""),[4]データ貼り付けシート!$1:$2,2,FALSE)</f>
        <v>384</v>
      </c>
      <c r="D4" s="33">
        <f>HLOOKUP(SUBSTITUTE(CONCATENATE(SUBSTITUTE(SUBSTITUTE(A4,"歳","")," ",""),"_全体")," ",""),[4]データ貼り付けシート!$1:$2,2,FALSE)</f>
        <v>802</v>
      </c>
      <c r="E4" s="31"/>
    </row>
    <row r="5" spans="1:7" x14ac:dyDescent="0.4">
      <c r="A5" s="32" t="s">
        <v>6</v>
      </c>
      <c r="B5" s="33">
        <f>HLOOKUP(SUBSTITUTE(CONCATENATE(SUBSTITUTE(SUBSTITUTE(A5,"歳","")," ",""),"_男")," ",""),[4]データ貼り付けシート!$1:$2,2,FALSE)</f>
        <v>393</v>
      </c>
      <c r="C5" s="33">
        <f>HLOOKUP(SUBSTITUTE(CONCATENATE(SUBSTITUTE(SUBSTITUTE(A5,"歳","")," ",""),"_女")," ",""),[4]データ貼り付けシート!$1:$2,2,FALSE)</f>
        <v>366</v>
      </c>
      <c r="D5" s="33">
        <f>HLOOKUP(SUBSTITUTE(CONCATENATE(SUBSTITUTE(SUBSTITUTE(A5,"歳","")," ",""),"_全体")," ",""),[4]データ貼り付けシート!$1:$2,2,FALSE)</f>
        <v>759</v>
      </c>
      <c r="E5" s="31"/>
    </row>
    <row r="6" spans="1:7" x14ac:dyDescent="0.4">
      <c r="A6" s="32" t="s">
        <v>7</v>
      </c>
      <c r="B6" s="33">
        <f>HLOOKUP(SUBSTITUTE(CONCATENATE(SUBSTITUTE(SUBSTITUTE(A6,"歳","")," ",""),"_男")," ",""),[4]データ貼り付けシート!$1:$2,2,FALSE)</f>
        <v>421</v>
      </c>
      <c r="C6" s="33">
        <f>HLOOKUP(SUBSTITUTE(CONCATENATE(SUBSTITUTE(SUBSTITUTE(A6,"歳","")," ",""),"_女")," ",""),[4]データ貼り付けシート!$1:$2,2,FALSE)</f>
        <v>366</v>
      </c>
      <c r="D6" s="33">
        <f>HLOOKUP(SUBSTITUTE(CONCATENATE(SUBSTITUTE(SUBSTITUTE(A6,"歳","")," ",""),"_全体")," ",""),[4]データ貼り付けシート!$1:$2,2,FALSE)</f>
        <v>787</v>
      </c>
      <c r="E6" s="31"/>
    </row>
    <row r="7" spans="1:7" x14ac:dyDescent="0.4">
      <c r="A7" s="32" t="s">
        <v>8</v>
      </c>
      <c r="B7" s="33">
        <f>HLOOKUP(SUBSTITUTE(CONCATENATE(SUBSTITUTE(SUBSTITUTE(A7,"歳","")," ",""),"_男")," ",""),[4]データ貼り付けシート!$1:$2,2,FALSE)</f>
        <v>339</v>
      </c>
      <c r="C7" s="33">
        <f>HLOOKUP(SUBSTITUTE(CONCATENATE(SUBSTITUTE(SUBSTITUTE(A7,"歳","")," ",""),"_女")," ",""),[4]データ貼り付けシート!$1:$2,2,FALSE)</f>
        <v>398</v>
      </c>
      <c r="D7" s="33">
        <f>HLOOKUP(SUBSTITUTE(CONCATENATE(SUBSTITUTE(SUBSTITUTE(A7,"歳","")," ",""),"_全体")," ",""),[4]データ貼り付けシート!$1:$2,2,FALSE)</f>
        <v>737</v>
      </c>
      <c r="E7" s="31"/>
    </row>
    <row r="8" spans="1:7" x14ac:dyDescent="0.4">
      <c r="A8" s="32" t="s">
        <v>9</v>
      </c>
      <c r="B8" s="33">
        <f>HLOOKUP(SUBSTITUTE(CONCATENATE(SUBSTITUTE(SUBSTITUTE(A8,"歳","")," ",""),"_男")," ",""),[4]データ貼り付けシート!$1:$2,2,FALSE)</f>
        <v>392</v>
      </c>
      <c r="C8" s="33">
        <f>HLOOKUP(SUBSTITUTE(CONCATENATE(SUBSTITUTE(SUBSTITUTE(A8,"歳","")," ",""),"_女")," ",""),[4]データ貼り付けシート!$1:$2,2,FALSE)</f>
        <v>344</v>
      </c>
      <c r="D8" s="33">
        <f>HLOOKUP(SUBSTITUTE(CONCATENATE(SUBSTITUTE(SUBSTITUTE(A8,"歳","")," ",""),"_全体")," ",""),[4]データ貼り付けシート!$1:$2,2,FALSE)</f>
        <v>736</v>
      </c>
      <c r="E8" s="31"/>
    </row>
    <row r="9" spans="1:7" x14ac:dyDescent="0.4">
      <c r="A9" s="32" t="s">
        <v>10</v>
      </c>
      <c r="B9" s="33">
        <f>HLOOKUP(SUBSTITUTE(CONCATENATE(SUBSTITUTE(SUBSTITUTE(A9,"歳","")," ",""),"_男")," ",""),[4]データ貼り付けシート!$1:$2,2,FALSE)</f>
        <v>372</v>
      </c>
      <c r="C9" s="33">
        <f>HLOOKUP(SUBSTITUTE(CONCATENATE(SUBSTITUTE(SUBSTITUTE(A9,"歳","")," ",""),"_女")," ",""),[4]データ貼り付けシート!$1:$2,2,FALSE)</f>
        <v>317</v>
      </c>
      <c r="D9" s="33">
        <f>HLOOKUP(SUBSTITUTE(CONCATENATE(SUBSTITUTE(SUBSTITUTE(A9,"歳","")," ",""),"_全体")," ",""),[4]データ貼り付けシート!$1:$2,2,FALSE)</f>
        <v>689</v>
      </c>
      <c r="E9" s="31"/>
    </row>
    <row r="10" spans="1:7" x14ac:dyDescent="0.4">
      <c r="A10" s="32" t="s">
        <v>11</v>
      </c>
      <c r="B10" s="33">
        <f>HLOOKUP(SUBSTITUTE(CONCATENATE(SUBSTITUTE(SUBSTITUTE(A10,"歳","")," ",""),"_男")," ",""),[4]データ貼り付けシート!$1:$2,2,FALSE)</f>
        <v>349</v>
      </c>
      <c r="C10" s="33">
        <f>HLOOKUP(SUBSTITUTE(CONCATENATE(SUBSTITUTE(SUBSTITUTE(A10,"歳","")," ",""),"_女")," ",""),[4]データ貼り付けシート!$1:$2,2,FALSE)</f>
        <v>384</v>
      </c>
      <c r="D10" s="33">
        <f>HLOOKUP(SUBSTITUTE(CONCATENATE(SUBSTITUTE(SUBSTITUTE(A10,"歳","")," ",""),"_全体")," ",""),[4]データ貼り付けシート!$1:$2,2,FALSE)</f>
        <v>733</v>
      </c>
      <c r="E10" s="31"/>
    </row>
    <row r="11" spans="1:7" x14ac:dyDescent="0.4">
      <c r="A11" s="32" t="s">
        <v>12</v>
      </c>
      <c r="B11" s="33">
        <f>HLOOKUP(SUBSTITUTE(CONCATENATE(SUBSTITUTE(SUBSTITUTE(A11,"歳","")," ",""),"_男")," ",""),[4]データ貼り付けシート!$1:$2,2,FALSE)</f>
        <v>373</v>
      </c>
      <c r="C11" s="33">
        <f>HLOOKUP(SUBSTITUTE(CONCATENATE(SUBSTITUTE(SUBSTITUTE(A11,"歳","")," ",""),"_女")," ",""),[4]データ貼り付けシート!$1:$2,2,FALSE)</f>
        <v>348</v>
      </c>
      <c r="D11" s="33">
        <f>HLOOKUP(SUBSTITUTE(CONCATENATE(SUBSTITUTE(SUBSTITUTE(A11,"歳","")," ",""),"_全体")," ",""),[4]データ貼り付けシート!$1:$2,2,FALSE)</f>
        <v>721</v>
      </c>
      <c r="E11" s="31"/>
    </row>
    <row r="12" spans="1:7" x14ac:dyDescent="0.4">
      <c r="A12" s="32" t="s">
        <v>13</v>
      </c>
      <c r="B12" s="33">
        <f>HLOOKUP(SUBSTITUTE(CONCATENATE(SUBSTITUTE(SUBSTITUTE(A12,"歳","")," ",""),"_男")," ",""),[4]データ貼り付けシート!$1:$2,2,FALSE)</f>
        <v>398</v>
      </c>
      <c r="C12" s="33">
        <f>HLOOKUP(SUBSTITUTE(CONCATENATE(SUBSTITUTE(SUBSTITUTE(A12,"歳","")," ",""),"_女")," ",""),[4]データ貼り付けシート!$1:$2,2,FALSE)</f>
        <v>359</v>
      </c>
      <c r="D12" s="33">
        <f>HLOOKUP(SUBSTITUTE(CONCATENATE(SUBSTITUTE(SUBSTITUTE(A12,"歳","")," ",""),"_全体")," ",""),[4]データ貼り付けシート!$1:$2,2,FALSE)</f>
        <v>757</v>
      </c>
      <c r="E12" s="31"/>
    </row>
    <row r="13" spans="1:7" x14ac:dyDescent="0.4">
      <c r="A13" s="32" t="s">
        <v>14</v>
      </c>
      <c r="B13" s="33">
        <f>HLOOKUP(SUBSTITUTE(CONCATENATE(SUBSTITUTE(SUBSTITUTE(A13,"歳","")," ",""),"_男")," ",""),[4]データ貼り付けシート!$1:$2,2,FALSE)</f>
        <v>350</v>
      </c>
      <c r="C13" s="33">
        <f>HLOOKUP(SUBSTITUTE(CONCATENATE(SUBSTITUTE(SUBSTITUTE(A13,"歳","")," ",""),"_女")," ",""),[4]データ貼り付けシート!$1:$2,2,FALSE)</f>
        <v>367</v>
      </c>
      <c r="D13" s="33">
        <f>HLOOKUP(SUBSTITUTE(CONCATENATE(SUBSTITUTE(SUBSTITUTE(A13,"歳","")," ",""),"_全体")," ",""),[4]データ貼り付けシート!$1:$2,2,FALSE)</f>
        <v>717</v>
      </c>
      <c r="E13" s="31"/>
    </row>
    <row r="14" spans="1:7" x14ac:dyDescent="0.4">
      <c r="A14" s="32" t="s">
        <v>15</v>
      </c>
      <c r="B14" s="33">
        <f>HLOOKUP(SUBSTITUTE(CONCATENATE(SUBSTITUTE(SUBSTITUTE(A14,"歳","")," ",""),"_男")," ",""),[4]データ貼り付けシート!$1:$2,2,FALSE)</f>
        <v>367</v>
      </c>
      <c r="C14" s="33">
        <f>HLOOKUP(SUBSTITUTE(CONCATENATE(SUBSTITUTE(SUBSTITUTE(A14,"歳","")," ",""),"_女")," ",""),[4]データ貼り付けシート!$1:$2,2,FALSE)</f>
        <v>370</v>
      </c>
      <c r="D14" s="33">
        <f>HLOOKUP(SUBSTITUTE(CONCATENATE(SUBSTITUTE(SUBSTITUTE(A14,"歳","")," ",""),"_全体")," ",""),[4]データ貼り付けシート!$1:$2,2,FALSE)</f>
        <v>737</v>
      </c>
      <c r="E14" s="31"/>
    </row>
    <row r="15" spans="1:7" x14ac:dyDescent="0.4">
      <c r="A15" s="32" t="s">
        <v>16</v>
      </c>
      <c r="B15" s="33">
        <f>HLOOKUP(SUBSTITUTE(CONCATENATE(SUBSTITUTE(SUBSTITUTE(A15,"歳","")," ",""),"_男")," ",""),[4]データ貼り付けシート!$1:$2,2,FALSE)</f>
        <v>394</v>
      </c>
      <c r="C15" s="33">
        <f>HLOOKUP(SUBSTITUTE(CONCATENATE(SUBSTITUTE(SUBSTITUTE(A15,"歳","")," ",""),"_女")," ",""),[4]データ貼り付けシート!$1:$2,2,FALSE)</f>
        <v>346</v>
      </c>
      <c r="D15" s="33">
        <f>HLOOKUP(SUBSTITUTE(CONCATENATE(SUBSTITUTE(SUBSTITUTE(A15,"歳","")," ",""),"_全体")," ",""),[4]データ貼り付けシート!$1:$2,2,FALSE)</f>
        <v>740</v>
      </c>
      <c r="E15" s="31"/>
    </row>
    <row r="16" spans="1:7" x14ac:dyDescent="0.4">
      <c r="A16" s="32" t="s">
        <v>17</v>
      </c>
      <c r="B16" s="33">
        <f>HLOOKUP(SUBSTITUTE(CONCATENATE(SUBSTITUTE(SUBSTITUTE(A16,"歳","")," ",""),"_男")," ",""),[4]データ貼り付けシート!$1:$2,2,FALSE)</f>
        <v>366</v>
      </c>
      <c r="C16" s="33">
        <f>HLOOKUP(SUBSTITUTE(CONCATENATE(SUBSTITUTE(SUBSTITUTE(A16,"歳","")," ",""),"_女")," ",""),[4]データ貼り付けシート!$1:$2,2,FALSE)</f>
        <v>364</v>
      </c>
      <c r="D16" s="33">
        <f>HLOOKUP(SUBSTITUTE(CONCATENATE(SUBSTITUTE(SUBSTITUTE(A16,"歳","")," ",""),"_全体")," ",""),[4]データ貼り付けシート!$1:$2,2,FALSE)</f>
        <v>730</v>
      </c>
      <c r="E16" s="31"/>
    </row>
    <row r="17" spans="1:5" x14ac:dyDescent="0.4">
      <c r="A17" s="32" t="s">
        <v>18</v>
      </c>
      <c r="B17" s="33">
        <f>HLOOKUP(SUBSTITUTE(CONCATENATE(SUBSTITUTE(SUBSTITUTE(A17,"歳","")," ",""),"_男")," ",""),[4]データ貼り付けシート!$1:$2,2,FALSE)</f>
        <v>404</v>
      </c>
      <c r="C17" s="33">
        <f>HLOOKUP(SUBSTITUTE(CONCATENATE(SUBSTITUTE(SUBSTITUTE(A17,"歳","")," ",""),"_女")," ",""),[4]データ貼り付けシート!$1:$2,2,FALSE)</f>
        <v>355</v>
      </c>
      <c r="D17" s="33">
        <f>HLOOKUP(SUBSTITUTE(CONCATENATE(SUBSTITUTE(SUBSTITUTE(A17,"歳","")," ",""),"_全体")," ",""),[4]データ貼り付けシート!$1:$2,2,FALSE)</f>
        <v>759</v>
      </c>
      <c r="E17" s="31"/>
    </row>
    <row r="18" spans="1:5" x14ac:dyDescent="0.4">
      <c r="A18" s="32" t="s">
        <v>19</v>
      </c>
      <c r="B18" s="33">
        <f>HLOOKUP(SUBSTITUTE(CONCATENATE(SUBSTITUTE(SUBSTITUTE(A18,"歳","")," ",""),"_男")," ",""),[4]データ貼り付けシート!$1:$2,2,FALSE)</f>
        <v>400</v>
      </c>
      <c r="C18" s="33">
        <f>HLOOKUP(SUBSTITUTE(CONCATENATE(SUBSTITUTE(SUBSTITUTE(A18,"歳","")," ",""),"_女")," ",""),[4]データ貼り付けシート!$1:$2,2,FALSE)</f>
        <v>381</v>
      </c>
      <c r="D18" s="33">
        <f>HLOOKUP(SUBSTITUTE(CONCATENATE(SUBSTITUTE(SUBSTITUTE(A18,"歳","")," ",""),"_全体")," ",""),[4]データ貼り付けシート!$1:$2,2,FALSE)</f>
        <v>781</v>
      </c>
      <c r="E18" s="31"/>
    </row>
    <row r="19" spans="1:5" x14ac:dyDescent="0.4">
      <c r="A19" s="32" t="s">
        <v>20</v>
      </c>
      <c r="B19" s="33">
        <f>HLOOKUP(SUBSTITUTE(CONCATENATE(SUBSTITUTE(SUBSTITUTE(A19,"歳","")," ",""),"_男")," ",""),[4]データ貼り付けシート!$1:$2,2,FALSE)</f>
        <v>371</v>
      </c>
      <c r="C19" s="33">
        <f>HLOOKUP(SUBSTITUTE(CONCATENATE(SUBSTITUTE(SUBSTITUTE(A19,"歳","")," ",""),"_女")," ",""),[4]データ貼り付けシート!$1:$2,2,FALSE)</f>
        <v>385</v>
      </c>
      <c r="D19" s="33">
        <f>HLOOKUP(SUBSTITUTE(CONCATENATE(SUBSTITUTE(SUBSTITUTE(A19,"歳","")," ",""),"_全体")," ",""),[4]データ貼り付けシート!$1:$2,2,FALSE)</f>
        <v>756</v>
      </c>
      <c r="E19" s="31"/>
    </row>
    <row r="20" spans="1:5" x14ac:dyDescent="0.4">
      <c r="A20" s="32" t="s">
        <v>21</v>
      </c>
      <c r="B20" s="33">
        <f>HLOOKUP(SUBSTITUTE(CONCATENATE(SUBSTITUTE(SUBSTITUTE(A20,"歳","")," ",""),"_男")," ",""),[4]データ貼り付けシート!$1:$2,2,FALSE)</f>
        <v>431</v>
      </c>
      <c r="C20" s="33">
        <f>HLOOKUP(SUBSTITUTE(CONCATENATE(SUBSTITUTE(SUBSTITUTE(A20,"歳","")," ",""),"_女")," ",""),[4]データ貼り付けシート!$1:$2,2,FALSE)</f>
        <v>395</v>
      </c>
      <c r="D20" s="33">
        <f>HLOOKUP(SUBSTITUTE(CONCATENATE(SUBSTITUTE(SUBSTITUTE(A20,"歳","")," ",""),"_全体")," ",""),[4]データ貼り付けシート!$1:$2,2,FALSE)</f>
        <v>826</v>
      </c>
      <c r="E20" s="31"/>
    </row>
    <row r="21" spans="1:5" x14ac:dyDescent="0.4">
      <c r="A21" s="32" t="s">
        <v>22</v>
      </c>
      <c r="B21" s="33">
        <f>HLOOKUP(SUBSTITUTE(CONCATENATE(SUBSTITUTE(SUBSTITUTE(A21,"歳","")," ",""),"_男")," ",""),[4]データ貼り付けシート!$1:$2,2,FALSE)</f>
        <v>446</v>
      </c>
      <c r="C21" s="33">
        <f>HLOOKUP(SUBSTITUTE(CONCATENATE(SUBSTITUTE(SUBSTITUTE(A21,"歳","")," ",""),"_女")," ",""),[4]データ貼り付けシート!$1:$2,2,FALSE)</f>
        <v>387</v>
      </c>
      <c r="D21" s="33">
        <f>HLOOKUP(SUBSTITUTE(CONCATENATE(SUBSTITUTE(SUBSTITUTE(A21,"歳","")," ",""),"_全体")," ",""),[4]データ貼り付けシート!$1:$2,2,FALSE)</f>
        <v>833</v>
      </c>
      <c r="E21" s="31"/>
    </row>
    <row r="22" spans="1:5" x14ac:dyDescent="0.4">
      <c r="A22" s="32" t="s">
        <v>23</v>
      </c>
      <c r="B22" s="33">
        <f>HLOOKUP(SUBSTITUTE(CONCATENATE(SUBSTITUTE(SUBSTITUTE(A22,"歳","")," ",""),"_男")," ",""),[4]データ貼り付けシート!$1:$2,2,FALSE)</f>
        <v>467</v>
      </c>
      <c r="C22" s="33">
        <f>HLOOKUP(SUBSTITUTE(CONCATENATE(SUBSTITUTE(SUBSTITUTE(A22,"歳","")," ",""),"_女")," ",""),[4]データ貼り付けシート!$1:$2,2,FALSE)</f>
        <v>436</v>
      </c>
      <c r="D22" s="33">
        <f>HLOOKUP(SUBSTITUTE(CONCATENATE(SUBSTITUTE(SUBSTITUTE(A22,"歳","")," ",""),"_全体")," ",""),[4]データ貼り付けシート!$1:$2,2,FALSE)</f>
        <v>903</v>
      </c>
      <c r="E22" s="31"/>
    </row>
    <row r="23" spans="1:5" x14ac:dyDescent="0.4">
      <c r="A23" s="32" t="s">
        <v>24</v>
      </c>
      <c r="B23" s="33">
        <f>HLOOKUP(SUBSTITUTE(CONCATENATE(SUBSTITUTE(SUBSTITUTE(A23,"歳","")," ",""),"_男")," ",""),[4]データ貼り付けシート!$1:$2,2,FALSE)</f>
        <v>483</v>
      </c>
      <c r="C23" s="33">
        <f>HLOOKUP(SUBSTITUTE(CONCATENATE(SUBSTITUTE(SUBSTITUTE(A23,"歳","")," ",""),"_女")," ",""),[4]データ貼り付けシート!$1:$2,2,FALSE)</f>
        <v>432</v>
      </c>
      <c r="D23" s="33">
        <f>HLOOKUP(SUBSTITUTE(CONCATENATE(SUBSTITUTE(SUBSTITUTE(A23,"歳","")," ",""),"_全体")," ",""),[4]データ貼り付けシート!$1:$2,2,FALSE)</f>
        <v>915</v>
      </c>
      <c r="E23" s="31"/>
    </row>
    <row r="24" spans="1:5" x14ac:dyDescent="0.4">
      <c r="A24" s="32" t="s">
        <v>25</v>
      </c>
      <c r="B24" s="33">
        <f>HLOOKUP(SUBSTITUTE(CONCATENATE(SUBSTITUTE(SUBSTITUTE(A24,"歳","")," ",""),"_男")," ",""),[4]データ貼り付けシート!$1:$2,2,FALSE)</f>
        <v>447</v>
      </c>
      <c r="C24" s="33">
        <f>HLOOKUP(SUBSTITUTE(CONCATENATE(SUBSTITUTE(SUBSTITUTE(A24,"歳","")," ",""),"_女")," ",""),[4]データ貼り付けシート!$1:$2,2,FALSE)</f>
        <v>429</v>
      </c>
      <c r="D24" s="33">
        <f>HLOOKUP(SUBSTITUTE(CONCATENATE(SUBSTITUTE(SUBSTITUTE(A24,"歳","")," ",""),"_全体")," ",""),[4]データ貼り付けシート!$1:$2,2,FALSE)</f>
        <v>876</v>
      </c>
      <c r="E24" s="31"/>
    </row>
    <row r="25" spans="1:5" x14ac:dyDescent="0.4">
      <c r="A25" s="32" t="s">
        <v>26</v>
      </c>
      <c r="B25" s="33">
        <f>HLOOKUP(SUBSTITUTE(CONCATENATE(SUBSTITUTE(SUBSTITUTE(A25,"歳","")," ",""),"_男")," ",""),[4]データ貼り付けシート!$1:$2,2,FALSE)</f>
        <v>465</v>
      </c>
      <c r="C25" s="33">
        <f>HLOOKUP(SUBSTITUTE(CONCATENATE(SUBSTITUTE(SUBSTITUTE(A25,"歳","")," ",""),"_女")," ",""),[4]データ貼り付けシート!$1:$2,2,FALSE)</f>
        <v>476</v>
      </c>
      <c r="D25" s="33">
        <f>HLOOKUP(SUBSTITUTE(CONCATENATE(SUBSTITUTE(SUBSTITUTE(A25,"歳","")," ",""),"_全体")," ",""),[4]データ貼り付けシート!$1:$2,2,FALSE)</f>
        <v>941</v>
      </c>
      <c r="E25" s="31"/>
    </row>
    <row r="26" spans="1:5" x14ac:dyDescent="0.4">
      <c r="A26" s="32" t="s">
        <v>27</v>
      </c>
      <c r="B26" s="33">
        <f>HLOOKUP(SUBSTITUTE(CONCATENATE(SUBSTITUTE(SUBSTITUTE(A26,"歳","")," ",""),"_男")," ",""),[4]データ貼り付けシート!$1:$2,2,FALSE)</f>
        <v>484</v>
      </c>
      <c r="C26" s="33">
        <f>HLOOKUP(SUBSTITUTE(CONCATENATE(SUBSTITUTE(SUBSTITUTE(A26,"歳","")," ",""),"_女")," ",""),[4]データ貼り付けシート!$1:$2,2,FALSE)</f>
        <v>476</v>
      </c>
      <c r="D26" s="33">
        <f>HLOOKUP(SUBSTITUTE(CONCATENATE(SUBSTITUTE(SUBSTITUTE(A26,"歳","")," ",""),"_全体")," ",""),[4]データ貼り付けシート!$1:$2,2,FALSE)</f>
        <v>960</v>
      </c>
      <c r="E26" s="31"/>
    </row>
    <row r="27" spans="1:5" x14ac:dyDescent="0.4">
      <c r="A27" s="32" t="s">
        <v>28</v>
      </c>
      <c r="B27" s="33">
        <f>HLOOKUP(SUBSTITUTE(CONCATENATE(SUBSTITUTE(SUBSTITUTE(A27,"歳","")," ",""),"_男")," ",""),[4]データ貼り付けシート!$1:$2,2,FALSE)</f>
        <v>475</v>
      </c>
      <c r="C27" s="33">
        <f>HLOOKUP(SUBSTITUTE(CONCATENATE(SUBSTITUTE(SUBSTITUTE(A27,"歳","")," ",""),"_女")," ",""),[4]データ貼り付けシート!$1:$2,2,FALSE)</f>
        <v>434</v>
      </c>
      <c r="D27" s="33">
        <f>HLOOKUP(SUBSTITUTE(CONCATENATE(SUBSTITUTE(SUBSTITUTE(A27,"歳","")," ",""),"_全体")," ",""),[4]データ貼り付けシート!$1:$2,2,FALSE)</f>
        <v>909</v>
      </c>
      <c r="E27" s="31"/>
    </row>
    <row r="28" spans="1:5" x14ac:dyDescent="0.4">
      <c r="A28" s="32" t="s">
        <v>29</v>
      </c>
      <c r="B28" s="33">
        <f>HLOOKUP(SUBSTITUTE(CONCATENATE(SUBSTITUTE(SUBSTITUTE(A28,"歳","")," ",""),"_男")," ",""),[4]データ貼り付けシート!$1:$2,2,FALSE)</f>
        <v>525</v>
      </c>
      <c r="C28" s="33">
        <f>HLOOKUP(SUBSTITUTE(CONCATENATE(SUBSTITUTE(SUBSTITUTE(A28,"歳","")," ",""),"_女")," ",""),[4]データ貼り付けシート!$1:$2,2,FALSE)</f>
        <v>433</v>
      </c>
      <c r="D28" s="33">
        <f>HLOOKUP(SUBSTITUTE(CONCATENATE(SUBSTITUTE(SUBSTITUTE(A28,"歳","")," ",""),"_全体")," ",""),[4]データ貼り付けシート!$1:$2,2,FALSE)</f>
        <v>958</v>
      </c>
      <c r="E28" s="31"/>
    </row>
    <row r="29" spans="1:5" x14ac:dyDescent="0.4">
      <c r="A29" s="32" t="s">
        <v>30</v>
      </c>
      <c r="B29" s="33">
        <f>HLOOKUP(SUBSTITUTE(CONCATENATE(SUBSTITUTE(SUBSTITUTE(A29,"歳","")," ",""),"_男")," ",""),[4]データ貼り付けシート!$1:$2,2,FALSE)</f>
        <v>496</v>
      </c>
      <c r="C29" s="33">
        <f>HLOOKUP(SUBSTITUTE(CONCATENATE(SUBSTITUTE(SUBSTITUTE(A29,"歳","")," ",""),"_女")," ",""),[4]データ貼り付けシート!$1:$2,2,FALSE)</f>
        <v>476</v>
      </c>
      <c r="D29" s="33">
        <f>HLOOKUP(SUBSTITUTE(CONCATENATE(SUBSTITUTE(SUBSTITUTE(A29,"歳","")," ",""),"_全体")," ",""),[4]データ貼り付けシート!$1:$2,2,FALSE)</f>
        <v>972</v>
      </c>
      <c r="E29" s="31"/>
    </row>
    <row r="30" spans="1:5" x14ac:dyDescent="0.4">
      <c r="A30" s="32" t="s">
        <v>31</v>
      </c>
      <c r="B30" s="33">
        <f>HLOOKUP(SUBSTITUTE(CONCATENATE(SUBSTITUTE(SUBSTITUTE(A30,"歳","")," ",""),"_男")," ",""),[4]データ貼り付けシート!$1:$2,2,FALSE)</f>
        <v>491</v>
      </c>
      <c r="C30" s="33">
        <f>HLOOKUP(SUBSTITUTE(CONCATENATE(SUBSTITUTE(SUBSTITUTE(A30,"歳","")," ",""),"_女")," ",""),[4]データ貼り付けシート!$1:$2,2,FALSE)</f>
        <v>464</v>
      </c>
      <c r="D30" s="33">
        <f>HLOOKUP(SUBSTITUTE(CONCATENATE(SUBSTITUTE(SUBSTITUTE(A30,"歳","")," ",""),"_全体")," ",""),[4]データ貼り付けシート!$1:$2,2,FALSE)</f>
        <v>955</v>
      </c>
      <c r="E30" s="31"/>
    </row>
    <row r="31" spans="1:5" x14ac:dyDescent="0.4">
      <c r="A31" s="32" t="s">
        <v>32</v>
      </c>
      <c r="B31" s="33">
        <f>HLOOKUP(SUBSTITUTE(CONCATENATE(SUBSTITUTE(SUBSTITUTE(A31,"歳","")," ",""),"_男")," ",""),[4]データ貼り付けシート!$1:$2,2,FALSE)</f>
        <v>543</v>
      </c>
      <c r="C31" s="33">
        <f>HLOOKUP(SUBSTITUTE(CONCATENATE(SUBSTITUTE(SUBSTITUTE(A31,"歳","")," ",""),"_女")," ",""),[4]データ貼り付けシート!$1:$2,2,FALSE)</f>
        <v>541</v>
      </c>
      <c r="D31" s="33">
        <f>HLOOKUP(SUBSTITUTE(CONCATENATE(SUBSTITUTE(SUBSTITUTE(A31,"歳","")," ",""),"_全体")," ",""),[4]データ貼り付けシート!$1:$2,2,FALSE)</f>
        <v>1084</v>
      </c>
      <c r="E31" s="31"/>
    </row>
    <row r="32" spans="1:5" x14ac:dyDescent="0.4">
      <c r="A32" s="32" t="s">
        <v>33</v>
      </c>
      <c r="B32" s="33">
        <f>HLOOKUP(SUBSTITUTE(CONCATENATE(SUBSTITUTE(SUBSTITUTE(A32,"歳","")," ",""),"_男")," ",""),[4]データ貼り付けシート!$1:$2,2,FALSE)</f>
        <v>497</v>
      </c>
      <c r="C32" s="33">
        <f>HLOOKUP(SUBSTITUTE(CONCATENATE(SUBSTITUTE(SUBSTITUTE(A32,"歳","")," ",""),"_女")," ",""),[4]データ貼り付けシート!$1:$2,2,FALSE)</f>
        <v>502</v>
      </c>
      <c r="D32" s="33">
        <f>HLOOKUP(SUBSTITUTE(CONCATENATE(SUBSTITUTE(SUBSTITUTE(A32,"歳","")," ",""),"_全体")," ",""),[4]データ貼り付けシート!$1:$2,2,FALSE)</f>
        <v>999</v>
      </c>
      <c r="E32" s="31"/>
    </row>
    <row r="33" spans="1:5" x14ac:dyDescent="0.4">
      <c r="A33" s="32" t="s">
        <v>34</v>
      </c>
      <c r="B33" s="33">
        <f>HLOOKUP(SUBSTITUTE(CONCATENATE(SUBSTITUTE(SUBSTITUTE(A33,"歳","")," ",""),"_男")," ",""),[4]データ貼り付けシート!$1:$2,2,FALSE)</f>
        <v>581</v>
      </c>
      <c r="C33" s="33">
        <f>HLOOKUP(SUBSTITUTE(CONCATENATE(SUBSTITUTE(SUBSTITUTE(A33,"歳","")," ",""),"_女")," ",""),[4]データ貼り付けシート!$1:$2,2,FALSE)</f>
        <v>540</v>
      </c>
      <c r="D33" s="33">
        <f>HLOOKUP(SUBSTITUTE(CONCATENATE(SUBSTITUTE(SUBSTITUTE(A33,"歳","")," ",""),"_全体")," ",""),[4]データ貼り付けシート!$1:$2,2,FALSE)</f>
        <v>1121</v>
      </c>
      <c r="E33" s="31"/>
    </row>
    <row r="34" spans="1:5" x14ac:dyDescent="0.4">
      <c r="A34" s="32" t="s">
        <v>35</v>
      </c>
      <c r="B34" s="33">
        <f>HLOOKUP(SUBSTITUTE(CONCATENATE(SUBSTITUTE(SUBSTITUTE(A34,"歳","")," ",""),"_男")," ",""),[4]データ貼り付けシート!$1:$2,2,FALSE)</f>
        <v>565</v>
      </c>
      <c r="C34" s="33">
        <f>HLOOKUP(SUBSTITUTE(CONCATENATE(SUBSTITUTE(SUBSTITUTE(A34,"歳","")," ",""),"_女")," ",""),[4]データ貼り付けシート!$1:$2,2,FALSE)</f>
        <v>510</v>
      </c>
      <c r="D34" s="33">
        <f>HLOOKUP(SUBSTITUTE(CONCATENATE(SUBSTITUTE(SUBSTITUTE(A34,"歳","")," ",""),"_全体")," ",""),[4]データ貼り付けシート!$1:$2,2,FALSE)</f>
        <v>1075</v>
      </c>
      <c r="E34" s="31"/>
    </row>
    <row r="35" spans="1:5" x14ac:dyDescent="0.4">
      <c r="A35" s="32" t="s">
        <v>36</v>
      </c>
      <c r="B35" s="33">
        <f>HLOOKUP(SUBSTITUTE(CONCATENATE(SUBSTITUTE(SUBSTITUTE(A35,"歳","")," ",""),"_男")," ",""),[4]データ貼り付けシート!$1:$2,2,FALSE)</f>
        <v>526</v>
      </c>
      <c r="C35" s="33">
        <f>HLOOKUP(SUBSTITUTE(CONCATENATE(SUBSTITUTE(SUBSTITUTE(A35,"歳","")," ",""),"_女")," ",""),[4]データ貼り付けシート!$1:$2,2,FALSE)</f>
        <v>534</v>
      </c>
      <c r="D35" s="33">
        <f>HLOOKUP(SUBSTITUTE(CONCATENATE(SUBSTITUTE(SUBSTITUTE(A35,"歳","")," ",""),"_全体")," ",""),[4]データ貼り付けシート!$1:$2,2,FALSE)</f>
        <v>1060</v>
      </c>
      <c r="E35" s="31"/>
    </row>
    <row r="36" spans="1:5" x14ac:dyDescent="0.4">
      <c r="A36" s="32" t="s">
        <v>37</v>
      </c>
      <c r="B36" s="33">
        <f>HLOOKUP(SUBSTITUTE(CONCATENATE(SUBSTITUTE(SUBSTITUTE(A36,"歳","")," ",""),"_男")," ",""),[4]データ貼り付けシート!$1:$2,2,FALSE)</f>
        <v>554</v>
      </c>
      <c r="C36" s="33">
        <f>HLOOKUP(SUBSTITUTE(CONCATENATE(SUBSTITUTE(SUBSTITUTE(A36,"歳","")," ",""),"_女")," ",""),[4]データ貼り付けシート!$1:$2,2,FALSE)</f>
        <v>536</v>
      </c>
      <c r="D36" s="33">
        <f>HLOOKUP(SUBSTITUTE(CONCATENATE(SUBSTITUTE(SUBSTITUTE(A36,"歳","")," ",""),"_全体")," ",""),[4]データ貼り付けシート!$1:$2,2,FALSE)</f>
        <v>1090</v>
      </c>
      <c r="E36" s="31"/>
    </row>
    <row r="37" spans="1:5" x14ac:dyDescent="0.4">
      <c r="A37" s="32" t="s">
        <v>38</v>
      </c>
      <c r="B37" s="33">
        <f>HLOOKUP(SUBSTITUTE(CONCATENATE(SUBSTITUTE(SUBSTITUTE(A37,"歳","")," ",""),"_男")," ",""),[4]データ貼り付けシート!$1:$2,2,FALSE)</f>
        <v>584</v>
      </c>
      <c r="C37" s="33">
        <f>HLOOKUP(SUBSTITUTE(CONCATENATE(SUBSTITUTE(SUBSTITUTE(A37,"歳","")," ",""),"_女")," ",""),[4]データ貼り付けシート!$1:$2,2,FALSE)</f>
        <v>498</v>
      </c>
      <c r="D37" s="33">
        <f>HLOOKUP(SUBSTITUTE(CONCATENATE(SUBSTITUTE(SUBSTITUTE(A37,"歳","")," ",""),"_全体")," ",""),[4]データ貼り付けシート!$1:$2,2,FALSE)</f>
        <v>1082</v>
      </c>
      <c r="E37" s="31"/>
    </row>
    <row r="38" spans="1:5" x14ac:dyDescent="0.4">
      <c r="A38" s="32" t="s">
        <v>39</v>
      </c>
      <c r="B38" s="33">
        <f>HLOOKUP(SUBSTITUTE(CONCATENATE(SUBSTITUTE(SUBSTITUTE(A38,"歳","")," ",""),"_男")," ",""),[4]データ貼り付けシート!$1:$2,2,FALSE)</f>
        <v>551</v>
      </c>
      <c r="C38" s="33">
        <f>HLOOKUP(SUBSTITUTE(CONCATENATE(SUBSTITUTE(SUBSTITUTE(A38,"歳","")," ",""),"_女")," ",""),[4]データ貼り付けシート!$1:$2,2,FALSE)</f>
        <v>538</v>
      </c>
      <c r="D38" s="33">
        <f>HLOOKUP(SUBSTITUTE(CONCATENATE(SUBSTITUTE(SUBSTITUTE(A38,"歳","")," ",""),"_全体")," ",""),[4]データ貼り付けシート!$1:$2,2,FALSE)</f>
        <v>1089</v>
      </c>
      <c r="E38" s="31"/>
    </row>
    <row r="39" spans="1:5" x14ac:dyDescent="0.4">
      <c r="A39" s="32" t="s">
        <v>40</v>
      </c>
      <c r="B39" s="33">
        <f>HLOOKUP(SUBSTITUTE(CONCATENATE(SUBSTITUTE(SUBSTITUTE(A39,"歳","")," ",""),"_男")," ",""),[4]データ貼り付けシート!$1:$2,2,FALSE)</f>
        <v>581</v>
      </c>
      <c r="C39" s="33">
        <f>HLOOKUP(SUBSTITUTE(CONCATENATE(SUBSTITUTE(SUBSTITUTE(A39,"歳","")," ",""),"_女")," ",""),[4]データ貼り付けシート!$1:$2,2,FALSE)</f>
        <v>570</v>
      </c>
      <c r="D39" s="33">
        <f>HLOOKUP(SUBSTITUTE(CONCATENATE(SUBSTITUTE(SUBSTITUTE(A39,"歳","")," ",""),"_全体")," ",""),[4]データ貼り付けシート!$1:$2,2,FALSE)</f>
        <v>1151</v>
      </c>
      <c r="E39" s="31"/>
    </row>
    <row r="40" spans="1:5" x14ac:dyDescent="0.4">
      <c r="A40" s="32" t="s">
        <v>41</v>
      </c>
      <c r="B40" s="33">
        <f>HLOOKUP(SUBSTITUTE(CONCATENATE(SUBSTITUTE(SUBSTITUTE(A40,"歳","")," ",""),"_男")," ",""),[4]データ貼り付けシート!$1:$2,2,FALSE)</f>
        <v>561</v>
      </c>
      <c r="C40" s="33">
        <f>HLOOKUP(SUBSTITUTE(CONCATENATE(SUBSTITUTE(SUBSTITUTE(A40,"歳","")," ",""),"_女")," ",""),[4]データ貼り付けシート!$1:$2,2,FALSE)</f>
        <v>529</v>
      </c>
      <c r="D40" s="33">
        <f>HLOOKUP(SUBSTITUTE(CONCATENATE(SUBSTITUTE(SUBSTITUTE(A40,"歳","")," ",""),"_全体")," ",""),[4]データ貼り付けシート!$1:$2,2,FALSE)</f>
        <v>1090</v>
      </c>
      <c r="E40" s="31"/>
    </row>
    <row r="41" spans="1:5" x14ac:dyDescent="0.4">
      <c r="A41" s="32" t="s">
        <v>42</v>
      </c>
      <c r="B41" s="33">
        <f>HLOOKUP(SUBSTITUTE(CONCATENATE(SUBSTITUTE(SUBSTITUTE(A41,"歳","")," ",""),"_男")," ",""),[4]データ貼り付けシート!$1:$2,2,FALSE)</f>
        <v>572</v>
      </c>
      <c r="C41" s="33">
        <f>HLOOKUP(SUBSTITUTE(CONCATENATE(SUBSTITUTE(SUBSTITUTE(A41,"歳","")," ",""),"_女")," ",""),[4]データ貼り付けシート!$1:$2,2,FALSE)</f>
        <v>535</v>
      </c>
      <c r="D41" s="33">
        <f>HLOOKUP(SUBSTITUTE(CONCATENATE(SUBSTITUTE(SUBSTITUTE(A41,"歳","")," ",""),"_全体")," ",""),[4]データ貼り付けシート!$1:$2,2,FALSE)</f>
        <v>1107</v>
      </c>
      <c r="E41" s="31"/>
    </row>
    <row r="42" spans="1:5" x14ac:dyDescent="0.4">
      <c r="A42" s="32" t="s">
        <v>43</v>
      </c>
      <c r="B42" s="33">
        <f>HLOOKUP(SUBSTITUTE(CONCATENATE(SUBSTITUTE(SUBSTITUTE(A42,"歳","")," ",""),"_男")," ",""),[4]データ貼り付けシート!$1:$2,2,FALSE)</f>
        <v>567</v>
      </c>
      <c r="C42" s="33">
        <f>HLOOKUP(SUBSTITUTE(CONCATENATE(SUBSTITUTE(SUBSTITUTE(A42,"歳","")," ",""),"_女")," ",""),[4]データ貼り付けシート!$1:$2,2,FALSE)</f>
        <v>551</v>
      </c>
      <c r="D42" s="33">
        <f>HLOOKUP(SUBSTITUTE(CONCATENATE(SUBSTITUTE(SUBSTITUTE(A42,"歳","")," ",""),"_全体")," ",""),[4]データ貼り付けシート!$1:$2,2,FALSE)</f>
        <v>1118</v>
      </c>
      <c r="E42" s="31"/>
    </row>
    <row r="43" spans="1:5" x14ac:dyDescent="0.4">
      <c r="A43" s="32" t="s">
        <v>44</v>
      </c>
      <c r="B43" s="33">
        <f>HLOOKUP(SUBSTITUTE(CONCATENATE(SUBSTITUTE(SUBSTITUTE(A43,"歳","")," ",""),"_男")," ",""),[4]データ貼り付けシート!$1:$2,2,FALSE)</f>
        <v>600</v>
      </c>
      <c r="C43" s="33">
        <f>HLOOKUP(SUBSTITUTE(CONCATENATE(SUBSTITUTE(SUBSTITUTE(A43,"歳","")," ",""),"_女")," ",""),[4]データ貼り付けシート!$1:$2,2,FALSE)</f>
        <v>550</v>
      </c>
      <c r="D43" s="33">
        <f>HLOOKUP(SUBSTITUTE(CONCATENATE(SUBSTITUTE(SUBSTITUTE(A43,"歳","")," ",""),"_全体")," ",""),[4]データ貼り付けシート!$1:$2,2,FALSE)</f>
        <v>1150</v>
      </c>
      <c r="E43" s="31"/>
    </row>
    <row r="44" spans="1:5" x14ac:dyDescent="0.4">
      <c r="A44" s="32" t="s">
        <v>45</v>
      </c>
      <c r="B44" s="33">
        <f>HLOOKUP(SUBSTITUTE(CONCATENATE(SUBSTITUTE(SUBSTITUTE(A44,"歳","")," ",""),"_男")," ",""),[4]データ貼り付けシート!$1:$2,2,FALSE)</f>
        <v>629</v>
      </c>
      <c r="C44" s="33">
        <f>HLOOKUP(SUBSTITUTE(CONCATENATE(SUBSTITUTE(SUBSTITUTE(A44,"歳","")," ",""),"_女")," ",""),[4]データ貼り付けシート!$1:$2,2,FALSE)</f>
        <v>603</v>
      </c>
      <c r="D44" s="33">
        <f>HLOOKUP(SUBSTITUTE(CONCATENATE(SUBSTITUTE(SUBSTITUTE(A44,"歳","")," ",""),"_全体")," ",""),[4]データ貼り付けシート!$1:$2,2,FALSE)</f>
        <v>1232</v>
      </c>
      <c r="E44" s="31"/>
    </row>
    <row r="45" spans="1:5" x14ac:dyDescent="0.4">
      <c r="A45" s="32" t="s">
        <v>46</v>
      </c>
      <c r="B45" s="33">
        <f>HLOOKUP(SUBSTITUTE(CONCATENATE(SUBSTITUTE(SUBSTITUTE(A45,"歳","")," ",""),"_男")," ",""),[4]データ貼り付けシート!$1:$2,2,FALSE)</f>
        <v>628</v>
      </c>
      <c r="C45" s="33">
        <f>HLOOKUP(SUBSTITUTE(CONCATENATE(SUBSTITUTE(SUBSTITUTE(A45,"歳","")," ",""),"_女")," ",""),[4]データ貼り付けシート!$1:$2,2,FALSE)</f>
        <v>581</v>
      </c>
      <c r="D45" s="33">
        <f>HLOOKUP(SUBSTITUTE(CONCATENATE(SUBSTITUTE(SUBSTITUTE(A45,"歳","")," ",""),"_全体")," ",""),[4]データ貼り付けシート!$1:$2,2,FALSE)</f>
        <v>1209</v>
      </c>
      <c r="E45" s="31"/>
    </row>
    <row r="46" spans="1:5" x14ac:dyDescent="0.4">
      <c r="A46" s="32" t="s">
        <v>47</v>
      </c>
      <c r="B46" s="33">
        <f>HLOOKUP(SUBSTITUTE(CONCATENATE(SUBSTITUTE(SUBSTITUTE(A46,"歳","")," ",""),"_男")," ",""),[4]データ貼り付けシート!$1:$2,2,FALSE)</f>
        <v>726</v>
      </c>
      <c r="C46" s="33">
        <f>HLOOKUP(SUBSTITUTE(CONCATENATE(SUBSTITUTE(SUBSTITUTE(A46,"歳","")," ",""),"_女")," ",""),[4]データ貼り付けシート!$1:$2,2,FALSE)</f>
        <v>645</v>
      </c>
      <c r="D46" s="33">
        <f>HLOOKUP(SUBSTITUTE(CONCATENATE(SUBSTITUTE(SUBSTITUTE(A46,"歳","")," ",""),"_全体")," ",""),[4]データ貼り付けシート!$1:$2,2,FALSE)</f>
        <v>1371</v>
      </c>
      <c r="E46" s="31"/>
    </row>
    <row r="47" spans="1:5" x14ac:dyDescent="0.4">
      <c r="A47" s="32" t="s">
        <v>48</v>
      </c>
      <c r="B47" s="33">
        <f>HLOOKUP(SUBSTITUTE(CONCATENATE(SUBSTITUTE(SUBSTITUTE(A47,"歳","")," ",""),"_男")," ",""),[4]データ貼り付けシート!$1:$2,2,FALSE)</f>
        <v>743</v>
      </c>
      <c r="C47" s="33">
        <f>HLOOKUP(SUBSTITUTE(CONCATENATE(SUBSTITUTE(SUBSTITUTE(A47,"歳","")," ",""),"_女")," ",""),[4]データ貼り付けシート!$1:$2,2,FALSE)</f>
        <v>722</v>
      </c>
      <c r="D47" s="33">
        <f>HLOOKUP(SUBSTITUTE(CONCATENATE(SUBSTITUTE(SUBSTITUTE(A47,"歳","")," ",""),"_全体")," ",""),[4]データ貼り付けシート!$1:$2,2,FALSE)</f>
        <v>1465</v>
      </c>
      <c r="E47" s="31"/>
    </row>
    <row r="48" spans="1:5" x14ac:dyDescent="0.4">
      <c r="A48" s="32" t="s">
        <v>49</v>
      </c>
      <c r="B48" s="33">
        <f>HLOOKUP(SUBSTITUTE(CONCATENATE(SUBSTITUTE(SUBSTITUTE(A48,"歳","")," ",""),"_男")," ",""),[4]データ貼り付けシート!$1:$2,2,FALSE)</f>
        <v>862</v>
      </c>
      <c r="C48" s="33">
        <f>HLOOKUP(SUBSTITUTE(CONCATENATE(SUBSTITUTE(SUBSTITUTE(A48,"歳","")," ",""),"_女")," ",""),[4]データ貼り付けシート!$1:$2,2,FALSE)</f>
        <v>747</v>
      </c>
      <c r="D48" s="33">
        <f>HLOOKUP(SUBSTITUTE(CONCATENATE(SUBSTITUTE(SUBSTITUTE(A48,"歳","")," ",""),"_全体")," ",""),[4]データ貼り付けシート!$1:$2,2,FALSE)</f>
        <v>1609</v>
      </c>
      <c r="E48" s="31"/>
    </row>
    <row r="49" spans="1:5" x14ac:dyDescent="0.4">
      <c r="A49" s="32" t="s">
        <v>50</v>
      </c>
      <c r="B49" s="33">
        <f>HLOOKUP(SUBSTITUTE(CONCATENATE(SUBSTITUTE(SUBSTITUTE(A49,"歳","")," ",""),"_男")," ",""),[4]データ貼り付けシート!$1:$2,2,FALSE)</f>
        <v>853</v>
      </c>
      <c r="C49" s="33">
        <f>HLOOKUP(SUBSTITUTE(CONCATENATE(SUBSTITUTE(SUBSTITUTE(A49,"歳","")," ",""),"_女")," ",""),[4]データ貼り付けシート!$1:$2,2,FALSE)</f>
        <v>768</v>
      </c>
      <c r="D49" s="33">
        <f>HLOOKUP(SUBSTITUTE(CONCATENATE(SUBSTITUTE(SUBSTITUTE(A49,"歳","")," ",""),"_全体")," ",""),[4]データ貼り付けシート!$1:$2,2,FALSE)</f>
        <v>1621</v>
      </c>
      <c r="E49" s="31"/>
    </row>
    <row r="50" spans="1:5" x14ac:dyDescent="0.4">
      <c r="A50" s="32" t="s">
        <v>51</v>
      </c>
      <c r="B50" s="33">
        <f>HLOOKUP(SUBSTITUTE(CONCATENATE(SUBSTITUTE(SUBSTITUTE(A50,"歳","")," ",""),"_男")," ",""),[4]データ貼り付けシート!$1:$2,2,FALSE)</f>
        <v>820</v>
      </c>
      <c r="C50" s="33">
        <f>HLOOKUP(SUBSTITUTE(CONCATENATE(SUBSTITUTE(SUBSTITUTE(A50,"歳","")," ",""),"_女")," ",""),[4]データ貼り付けシート!$1:$2,2,FALSE)</f>
        <v>748</v>
      </c>
      <c r="D50" s="33">
        <f>HLOOKUP(SUBSTITUTE(CONCATENATE(SUBSTITUTE(SUBSTITUTE(A50,"歳","")," ",""),"_全体")," ",""),[4]データ貼り付けシート!$1:$2,2,FALSE)</f>
        <v>1568</v>
      </c>
      <c r="E50" s="31"/>
    </row>
    <row r="51" spans="1:5" x14ac:dyDescent="0.4">
      <c r="A51" s="32" t="s">
        <v>52</v>
      </c>
      <c r="B51" s="33">
        <f>HLOOKUP(SUBSTITUTE(CONCATENATE(SUBSTITUTE(SUBSTITUTE(A51,"歳","")," ",""),"_男")," ",""),[4]データ貼り付けシート!$1:$2,2,FALSE)</f>
        <v>740</v>
      </c>
      <c r="C51" s="33">
        <f>HLOOKUP(SUBSTITUTE(CONCATENATE(SUBSTITUTE(SUBSTITUTE(A51,"歳","")," ",""),"_女")," ",""),[4]データ貼り付けシート!$1:$2,2,FALSE)</f>
        <v>699</v>
      </c>
      <c r="D51" s="33">
        <f>HLOOKUP(SUBSTITUTE(CONCATENATE(SUBSTITUTE(SUBSTITUTE(A51,"歳","")," ",""),"_全体")," ",""),[4]データ貼り付けシート!$1:$2,2,FALSE)</f>
        <v>1439</v>
      </c>
      <c r="E51" s="31"/>
    </row>
    <row r="52" spans="1:5" x14ac:dyDescent="0.4">
      <c r="A52" s="32" t="s">
        <v>53</v>
      </c>
      <c r="B52" s="33">
        <f>HLOOKUP(SUBSTITUTE(CONCATENATE(SUBSTITUTE(SUBSTITUTE(A52,"歳","")," ",""),"_男")," ",""),[4]データ貼り付けシート!$1:$2,2,FALSE)</f>
        <v>754</v>
      </c>
      <c r="C52" s="33">
        <f>HLOOKUP(SUBSTITUTE(CONCATENATE(SUBSTITUTE(SUBSTITUTE(A52,"歳","")," ",""),"_女")," ",""),[4]データ貼り付けシート!$1:$2,2,FALSE)</f>
        <v>654</v>
      </c>
      <c r="D52" s="33">
        <f>HLOOKUP(SUBSTITUTE(CONCATENATE(SUBSTITUTE(SUBSTITUTE(A52,"歳","")," ",""),"_全体")," ",""),[4]データ貼り付けシート!$1:$2,2,FALSE)</f>
        <v>1408</v>
      </c>
      <c r="E52" s="31"/>
    </row>
    <row r="53" spans="1:5" x14ac:dyDescent="0.4">
      <c r="A53" s="32" t="s">
        <v>54</v>
      </c>
      <c r="B53" s="33">
        <f>HLOOKUP(SUBSTITUTE(CONCATENATE(SUBSTITUTE(SUBSTITUTE(A53,"歳","")," ",""),"_男")," ",""),[4]データ貼り付けシート!$1:$2,2,FALSE)</f>
        <v>673</v>
      </c>
      <c r="C53" s="33">
        <f>HLOOKUP(SUBSTITUTE(CONCATENATE(SUBSTITUTE(SUBSTITUTE(A53,"歳","")," ",""),"_女")," ",""),[4]データ貼り付けシート!$1:$2,2,FALSE)</f>
        <v>607</v>
      </c>
      <c r="D53" s="33">
        <f>HLOOKUP(SUBSTITUTE(CONCATENATE(SUBSTITUTE(SUBSTITUTE(A53,"歳","")," ",""),"_全体")," ",""),[4]データ貼り付けシート!$1:$2,2,FALSE)</f>
        <v>1280</v>
      </c>
      <c r="E53" s="31"/>
    </row>
    <row r="54" spans="1:5" x14ac:dyDescent="0.4">
      <c r="A54" s="32" t="s">
        <v>55</v>
      </c>
      <c r="B54" s="33">
        <f>HLOOKUP(SUBSTITUTE(CONCATENATE(SUBSTITUTE(SUBSTITUTE(A54,"歳","")," ",""),"_男")," ",""),[4]データ貼り付けシート!$1:$2,2,FALSE)</f>
        <v>685</v>
      </c>
      <c r="C54" s="33">
        <f>HLOOKUP(SUBSTITUTE(CONCATENATE(SUBSTITUTE(SUBSTITUTE(A54,"歳","")," ",""),"_女")," ",""),[4]データ貼り付けシート!$1:$2,2,FALSE)</f>
        <v>598</v>
      </c>
      <c r="D54" s="33">
        <f>HLOOKUP(SUBSTITUTE(CONCATENATE(SUBSTITUTE(SUBSTITUTE(A54,"歳","")," ",""),"_全体")," ",""),[4]データ貼り付けシート!$1:$2,2,FALSE)</f>
        <v>1283</v>
      </c>
      <c r="E54" s="31"/>
    </row>
    <row r="55" spans="1:5" x14ac:dyDescent="0.4">
      <c r="A55" s="32" t="s">
        <v>56</v>
      </c>
      <c r="B55" s="33">
        <f>HLOOKUP(SUBSTITUTE(CONCATENATE(SUBSTITUTE(SUBSTITUTE(A55,"歳","")," ",""),"_男")," ",""),[4]データ貼り付けシート!$1:$2,2,FALSE)</f>
        <v>588</v>
      </c>
      <c r="C55" s="33">
        <f>HLOOKUP(SUBSTITUTE(CONCATENATE(SUBSTITUTE(SUBSTITUTE(A55,"歳","")," ",""),"_女")," ",""),[4]データ貼り付けシート!$1:$2,2,FALSE)</f>
        <v>504</v>
      </c>
      <c r="D55" s="33">
        <f>HLOOKUP(SUBSTITUTE(CONCATENATE(SUBSTITUTE(SUBSTITUTE(A55,"歳","")," ",""),"_全体")," ",""),[4]データ貼り付けシート!$1:$2,2,FALSE)</f>
        <v>1092</v>
      </c>
      <c r="E55" s="31"/>
    </row>
    <row r="56" spans="1:5" x14ac:dyDescent="0.4">
      <c r="A56" s="32" t="s">
        <v>57</v>
      </c>
      <c r="B56" s="33">
        <f>HLOOKUP(SUBSTITUTE(CONCATENATE(SUBSTITUTE(SUBSTITUTE(A56,"歳","")," ",""),"_男")," ",""),[4]データ貼り付けシート!$1:$2,2,FALSE)</f>
        <v>555</v>
      </c>
      <c r="C56" s="33">
        <f>HLOOKUP(SUBSTITUTE(CONCATENATE(SUBSTITUTE(SUBSTITUTE(A56,"歳","")," ",""),"_女")," ",""),[4]データ貼り付けシート!$1:$2,2,FALSE)</f>
        <v>473</v>
      </c>
      <c r="D56" s="33">
        <f>HLOOKUP(SUBSTITUTE(CONCATENATE(SUBSTITUTE(SUBSTITUTE(A56,"歳","")," ",""),"_全体")," ",""),[4]データ貼り付けシート!$1:$2,2,FALSE)</f>
        <v>1028</v>
      </c>
      <c r="E56" s="31"/>
    </row>
    <row r="57" spans="1:5" x14ac:dyDescent="0.4">
      <c r="A57" s="32" t="s">
        <v>58</v>
      </c>
      <c r="B57" s="33">
        <f>HLOOKUP(SUBSTITUTE(CONCATENATE(SUBSTITUTE(SUBSTITUTE(A57,"歳","")," ",""),"_男")," ",""),[4]データ貼り付けシート!$1:$2,2,FALSE)</f>
        <v>521</v>
      </c>
      <c r="C57" s="33">
        <f>HLOOKUP(SUBSTITUTE(CONCATENATE(SUBSTITUTE(SUBSTITUTE(A57,"歳","")," ",""),"_女")," ",""),[4]データ貼り付けシート!$1:$2,2,FALSE)</f>
        <v>493</v>
      </c>
      <c r="D57" s="33">
        <f>HLOOKUP(SUBSTITUTE(CONCATENATE(SUBSTITUTE(SUBSTITUTE(A57,"歳","")," ",""),"_全体")," ",""),[4]データ貼り付けシート!$1:$2,2,FALSE)</f>
        <v>1014</v>
      </c>
      <c r="E57" s="31"/>
    </row>
    <row r="58" spans="1:5" x14ac:dyDescent="0.4">
      <c r="A58" s="32" t="s">
        <v>59</v>
      </c>
      <c r="B58" s="33">
        <f>HLOOKUP(SUBSTITUTE(CONCATENATE(SUBSTITUTE(SUBSTITUTE(A58,"歳","")," ",""),"_男")," ",""),[4]データ貼り付けシート!$1:$2,2,FALSE)</f>
        <v>490</v>
      </c>
      <c r="C58" s="33">
        <f>HLOOKUP(SUBSTITUTE(CONCATENATE(SUBSTITUTE(SUBSTITUTE(A58,"歳","")," ",""),"_女")," ",""),[4]データ貼り付けシート!$1:$2,2,FALSE)</f>
        <v>479</v>
      </c>
      <c r="D58" s="33">
        <f>HLOOKUP(SUBSTITUTE(CONCATENATE(SUBSTITUTE(SUBSTITUTE(A58,"歳","")," ",""),"_全体")," ",""),[4]データ貼り付けシート!$1:$2,2,FALSE)</f>
        <v>969</v>
      </c>
      <c r="E58" s="31"/>
    </row>
    <row r="59" spans="1:5" x14ac:dyDescent="0.4">
      <c r="A59" s="32" t="s">
        <v>60</v>
      </c>
      <c r="B59" s="33">
        <f>HLOOKUP(SUBSTITUTE(CONCATENATE(SUBSTITUTE(SUBSTITUTE(A59,"歳","")," ",""),"_男")," ",""),[4]データ貼り付けシート!$1:$2,2,FALSE)</f>
        <v>488</v>
      </c>
      <c r="C59" s="33">
        <f>HLOOKUP(SUBSTITUTE(CONCATENATE(SUBSTITUTE(SUBSTITUTE(A59,"歳","")," ",""),"_女")," ",""),[4]データ貼り付けシート!$1:$2,2,FALSE)</f>
        <v>432</v>
      </c>
      <c r="D59" s="33">
        <f>HLOOKUP(SUBSTITUTE(CONCATENATE(SUBSTITUTE(SUBSTITUTE(A59,"歳","")," ",""),"_全体")," ",""),[4]データ貼り付けシート!$1:$2,2,FALSE)</f>
        <v>920</v>
      </c>
      <c r="E59" s="31"/>
    </row>
    <row r="60" spans="1:5" x14ac:dyDescent="0.4">
      <c r="A60" s="32" t="s">
        <v>61</v>
      </c>
      <c r="B60" s="33">
        <f>HLOOKUP(SUBSTITUTE(CONCATENATE(SUBSTITUTE(SUBSTITUTE(A60,"歳","")," ",""),"_男")," ",""),[4]データ貼り付けシート!$1:$2,2,FALSE)</f>
        <v>455</v>
      </c>
      <c r="C60" s="33">
        <f>HLOOKUP(SUBSTITUTE(CONCATENATE(SUBSTITUTE(SUBSTITUTE(A60,"歳","")," ",""),"_女")," ",""),[4]データ貼り付けシート!$1:$2,2,FALSE)</f>
        <v>430</v>
      </c>
      <c r="D60" s="33">
        <f>HLOOKUP(SUBSTITUTE(CONCATENATE(SUBSTITUTE(SUBSTITUTE(A60,"歳","")," ",""),"_全体")," ",""),[4]データ貼り付けシート!$1:$2,2,FALSE)</f>
        <v>885</v>
      </c>
      <c r="E60" s="31"/>
    </row>
    <row r="61" spans="1:5" x14ac:dyDescent="0.4">
      <c r="A61" s="32" t="s">
        <v>62</v>
      </c>
      <c r="B61" s="33">
        <f>HLOOKUP(SUBSTITUTE(CONCATENATE(SUBSTITUTE(SUBSTITUTE(A61,"歳","")," ",""),"_男")," ",""),[4]データ貼り付けシート!$1:$2,2,FALSE)</f>
        <v>423</v>
      </c>
      <c r="C61" s="33">
        <f>HLOOKUP(SUBSTITUTE(CONCATENATE(SUBSTITUTE(SUBSTITUTE(A61,"歳","")," ",""),"_女")," ",""),[4]データ貼り付けシート!$1:$2,2,FALSE)</f>
        <v>399</v>
      </c>
      <c r="D61" s="33">
        <f>HLOOKUP(SUBSTITUTE(CONCATENATE(SUBSTITUTE(SUBSTITUTE(A61,"歳","")," ",""),"_全体")," ",""),[4]データ貼り付けシート!$1:$2,2,FALSE)</f>
        <v>822</v>
      </c>
      <c r="E61" s="31"/>
    </row>
    <row r="62" spans="1:5" x14ac:dyDescent="0.4">
      <c r="A62" s="32" t="s">
        <v>63</v>
      </c>
      <c r="B62" s="33">
        <f>HLOOKUP(SUBSTITUTE(CONCATENATE(SUBSTITUTE(SUBSTITUTE(A62,"歳","")," ",""),"_男")," ",""),[4]データ貼り付けシート!$1:$2,2,FALSE)</f>
        <v>409</v>
      </c>
      <c r="C62" s="33">
        <f>HLOOKUP(SUBSTITUTE(CONCATENATE(SUBSTITUTE(SUBSTITUTE(A62,"歳","")," ",""),"_女")," ",""),[4]データ貼り付けシート!$1:$2,2,FALSE)</f>
        <v>408</v>
      </c>
      <c r="D62" s="33">
        <f>HLOOKUP(SUBSTITUTE(CONCATENATE(SUBSTITUTE(SUBSTITUTE(A62,"歳","")," ",""),"_全体")," ",""),[4]データ貼り付けシート!$1:$2,2,FALSE)</f>
        <v>817</v>
      </c>
      <c r="E62" s="31"/>
    </row>
    <row r="63" spans="1:5" x14ac:dyDescent="0.4">
      <c r="A63" s="32" t="s">
        <v>64</v>
      </c>
      <c r="B63" s="33">
        <f>HLOOKUP(SUBSTITUTE(CONCATENATE(SUBSTITUTE(SUBSTITUTE(A63,"歳","")," ",""),"_男")," ",""),[4]データ貼り付けシート!$1:$2,2,FALSE)</f>
        <v>455</v>
      </c>
      <c r="C63" s="33">
        <f>HLOOKUP(SUBSTITUTE(CONCATENATE(SUBSTITUTE(SUBSTITUTE(A63,"歳","")," ",""),"_女")," ",""),[4]データ貼り付けシート!$1:$2,2,FALSE)</f>
        <v>403</v>
      </c>
      <c r="D63" s="33">
        <f>HLOOKUP(SUBSTITUTE(CONCATENATE(SUBSTITUTE(SUBSTITUTE(A63,"歳","")," ",""),"_全体")," ",""),[4]データ貼り付けシート!$1:$2,2,FALSE)</f>
        <v>858</v>
      </c>
      <c r="E63" s="31"/>
    </row>
    <row r="64" spans="1:5" x14ac:dyDescent="0.4">
      <c r="A64" s="32" t="s">
        <v>65</v>
      </c>
      <c r="B64" s="33">
        <f>HLOOKUP(SUBSTITUTE(CONCATENATE(SUBSTITUTE(SUBSTITUTE(A64,"歳","")," ",""),"_男")," ",""),[4]データ貼り付けシート!$1:$2,2,FALSE)</f>
        <v>398</v>
      </c>
      <c r="C64" s="33">
        <f>HLOOKUP(SUBSTITUTE(CONCATENATE(SUBSTITUTE(SUBSTITUTE(A64,"歳","")," ",""),"_女")," ",""),[4]データ貼り付けシート!$1:$2,2,FALSE)</f>
        <v>390</v>
      </c>
      <c r="D64" s="33">
        <f>HLOOKUP(SUBSTITUTE(CONCATENATE(SUBSTITUTE(SUBSTITUTE(A64,"歳","")," ",""),"_全体")," ",""),[4]データ貼り付けシート!$1:$2,2,FALSE)</f>
        <v>788</v>
      </c>
      <c r="E64" s="31"/>
    </row>
    <row r="65" spans="1:5" x14ac:dyDescent="0.4">
      <c r="A65" s="32" t="s">
        <v>66</v>
      </c>
      <c r="B65" s="33">
        <f>HLOOKUP(SUBSTITUTE(CONCATENATE(SUBSTITUTE(SUBSTITUTE(A65,"歳","")," ",""),"_男")," ",""),[4]データ貼り付けシート!$1:$2,2,FALSE)</f>
        <v>404</v>
      </c>
      <c r="C65" s="33">
        <f>HLOOKUP(SUBSTITUTE(CONCATENATE(SUBSTITUTE(SUBSTITUTE(A65,"歳","")," ",""),"_女")," ",""),[4]データ貼り付けシート!$1:$2,2,FALSE)</f>
        <v>417</v>
      </c>
      <c r="D65" s="33">
        <f>HLOOKUP(SUBSTITUTE(CONCATENATE(SUBSTITUTE(SUBSTITUTE(A65,"歳","")," ",""),"_全体")," ",""),[4]データ貼り付けシート!$1:$2,2,FALSE)</f>
        <v>821</v>
      </c>
      <c r="E65" s="31"/>
    </row>
    <row r="66" spans="1:5" x14ac:dyDescent="0.4">
      <c r="A66" s="32" t="s">
        <v>67</v>
      </c>
      <c r="B66" s="33">
        <f>HLOOKUP(SUBSTITUTE(CONCATENATE(SUBSTITUTE(SUBSTITUTE(A66,"歳","")," ",""),"_男")," ",""),[4]データ貼り付けシート!$1:$2,2,FALSE)</f>
        <v>411</v>
      </c>
      <c r="C66" s="33">
        <f>HLOOKUP(SUBSTITUTE(CONCATENATE(SUBSTITUTE(SUBSTITUTE(A66,"歳","")," ",""),"_女")," ",""),[4]データ貼り付けシート!$1:$2,2,FALSE)</f>
        <v>414</v>
      </c>
      <c r="D66" s="33">
        <f>HLOOKUP(SUBSTITUTE(CONCATENATE(SUBSTITUTE(SUBSTITUTE(A66,"歳","")," ",""),"_全体")," ",""),[4]データ貼り付けシート!$1:$2,2,FALSE)</f>
        <v>825</v>
      </c>
      <c r="E66" s="31"/>
    </row>
    <row r="67" spans="1:5" x14ac:dyDescent="0.4">
      <c r="A67" s="32" t="s">
        <v>68</v>
      </c>
      <c r="B67" s="33">
        <f>HLOOKUP(SUBSTITUTE(CONCATENATE(SUBSTITUTE(SUBSTITUTE(A67,"歳","")," ",""),"_男")," ",""),[4]データ貼り付けシート!$1:$2,2,FALSE)</f>
        <v>441</v>
      </c>
      <c r="C67" s="33">
        <f>HLOOKUP(SUBSTITUTE(CONCATENATE(SUBSTITUTE(SUBSTITUTE(A67,"歳","")," ",""),"_女")," ",""),[4]データ貼り付けシート!$1:$2,2,FALSE)</f>
        <v>464</v>
      </c>
      <c r="D67" s="33">
        <f>HLOOKUP(SUBSTITUTE(CONCATENATE(SUBSTITUTE(SUBSTITUTE(A67,"歳","")," ",""),"_全体")," ",""),[4]データ貼り付けシート!$1:$2,2,FALSE)</f>
        <v>905</v>
      </c>
      <c r="E67" s="31"/>
    </row>
    <row r="68" spans="1:5" x14ac:dyDescent="0.4">
      <c r="A68" s="32" t="s">
        <v>69</v>
      </c>
      <c r="B68" s="33">
        <f>HLOOKUP(SUBSTITUTE(CONCATENATE(SUBSTITUTE(SUBSTITUTE(A68,"歳","")," ",""),"_男")," ",""),[4]データ貼り付けシート!$1:$2,2,FALSE)</f>
        <v>413</v>
      </c>
      <c r="C68" s="33">
        <f>HLOOKUP(SUBSTITUTE(CONCATENATE(SUBSTITUTE(SUBSTITUTE(A68,"歳","")," ",""),"_女")," ",""),[4]データ貼り付けシート!$1:$2,2,FALSE)</f>
        <v>462</v>
      </c>
      <c r="D68" s="33">
        <f>HLOOKUP(SUBSTITUTE(CONCATENATE(SUBSTITUTE(SUBSTITUTE(A68,"歳","")," ",""),"_全体")," ",""),[4]データ貼り付けシート!$1:$2,2,FALSE)</f>
        <v>875</v>
      </c>
      <c r="E68" s="31"/>
    </row>
    <row r="69" spans="1:5" x14ac:dyDescent="0.4">
      <c r="A69" s="32" t="s">
        <v>70</v>
      </c>
      <c r="B69" s="33">
        <f>HLOOKUP(SUBSTITUTE(CONCATENATE(SUBSTITUTE(SUBSTITUTE(A69,"歳","")," ",""),"_男")," ",""),[4]データ貼り付けシート!$1:$2,2,FALSE)</f>
        <v>443</v>
      </c>
      <c r="C69" s="33">
        <f>HLOOKUP(SUBSTITUTE(CONCATENATE(SUBSTITUTE(SUBSTITUTE(A69,"歳","")," ",""),"_女")," ",""),[4]データ貼り付けシート!$1:$2,2,FALSE)</f>
        <v>511</v>
      </c>
      <c r="D69" s="33">
        <f>HLOOKUP(SUBSTITUTE(CONCATENATE(SUBSTITUTE(SUBSTITUTE(A69,"歳","")," ",""),"_全体")," ",""),[4]データ貼り付けシート!$1:$2,2,FALSE)</f>
        <v>954</v>
      </c>
      <c r="E69" s="31"/>
    </row>
    <row r="70" spans="1:5" x14ac:dyDescent="0.4">
      <c r="A70" s="32" t="s">
        <v>71</v>
      </c>
      <c r="B70" s="33">
        <f>HLOOKUP(SUBSTITUTE(CONCATENATE(SUBSTITUTE(SUBSTITUTE(A70,"歳","")," ",""),"_男")," ",""),[4]データ貼り付けシート!$1:$2,2,FALSE)</f>
        <v>506</v>
      </c>
      <c r="C70" s="33">
        <f>HLOOKUP(SUBSTITUTE(CONCATENATE(SUBSTITUTE(SUBSTITUTE(A70,"歳","")," ",""),"_女")," ",""),[4]データ貼り付けシート!$1:$2,2,FALSE)</f>
        <v>533</v>
      </c>
      <c r="D70" s="33">
        <f>HLOOKUP(SUBSTITUTE(CONCATENATE(SUBSTITUTE(SUBSTITUTE(A70,"歳","")," ",""),"_全体")," ",""),[4]データ貼り付けシート!$1:$2,2,FALSE)</f>
        <v>1039</v>
      </c>
      <c r="E70" s="31"/>
    </row>
    <row r="71" spans="1:5" x14ac:dyDescent="0.4">
      <c r="A71" s="32" t="s">
        <v>72</v>
      </c>
      <c r="B71" s="33">
        <f>HLOOKUP(SUBSTITUTE(CONCATENATE(SUBSTITUTE(SUBSTITUTE(A71,"歳","")," ",""),"_男")," ",""),[4]データ貼り付けシート!$1:$2,2,FALSE)</f>
        <v>553</v>
      </c>
      <c r="C71" s="33">
        <f>HLOOKUP(SUBSTITUTE(CONCATENATE(SUBSTITUTE(SUBSTITUTE(A71,"歳","")," ",""),"_女")," ",""),[4]データ貼り付けシート!$1:$2,2,FALSE)</f>
        <v>621</v>
      </c>
      <c r="D71" s="33">
        <f>HLOOKUP(SUBSTITUTE(CONCATENATE(SUBSTITUTE(SUBSTITUTE(A71,"歳","")," ",""),"_全体")," ",""),[4]データ貼り付けシート!$1:$2,2,FALSE)</f>
        <v>1174</v>
      </c>
      <c r="E71" s="31"/>
    </row>
    <row r="72" spans="1:5" x14ac:dyDescent="0.4">
      <c r="A72" s="32" t="s">
        <v>73</v>
      </c>
      <c r="B72" s="33">
        <f>HLOOKUP(SUBSTITUTE(CONCATENATE(SUBSTITUTE(SUBSTITUTE(A72,"歳","")," ",""),"_男")," ",""),[4]データ貼り付けシート!$1:$2,2,FALSE)</f>
        <v>661</v>
      </c>
      <c r="C72" s="33">
        <f>HLOOKUP(SUBSTITUTE(CONCATENATE(SUBSTITUTE(SUBSTITUTE(A72,"歳","")," ",""),"_女")," ",""),[4]データ貼り付けシート!$1:$2,2,FALSE)</f>
        <v>725</v>
      </c>
      <c r="D72" s="33">
        <f>HLOOKUP(SUBSTITUTE(CONCATENATE(SUBSTITUTE(SUBSTITUTE(A72,"歳","")," ",""),"_全体")," ",""),[4]データ貼り付けシート!$1:$2,2,FALSE)</f>
        <v>1386</v>
      </c>
      <c r="E72" s="31"/>
    </row>
    <row r="73" spans="1:5" x14ac:dyDescent="0.4">
      <c r="A73" s="32" t="s">
        <v>74</v>
      </c>
      <c r="B73" s="33">
        <f>HLOOKUP(SUBSTITUTE(CONCATENATE(SUBSTITUTE(SUBSTITUTE(A73,"歳","")," ",""),"_男")," ",""),[4]データ貼り付けシート!$1:$2,2,FALSE)</f>
        <v>633</v>
      </c>
      <c r="C73" s="33">
        <f>HLOOKUP(SUBSTITUTE(CONCATENATE(SUBSTITUTE(SUBSTITUTE(A73,"歳","")," ",""),"_女")," ",""),[4]データ貼り付けシート!$1:$2,2,FALSE)</f>
        <v>782</v>
      </c>
      <c r="D73" s="33">
        <f>HLOOKUP(SUBSTITUTE(CONCATENATE(SUBSTITUTE(SUBSTITUTE(A73,"歳","")," ",""),"_全体")," ",""),[4]データ貼り付けシート!$1:$2,2,FALSE)</f>
        <v>1415</v>
      </c>
      <c r="E73" s="31"/>
    </row>
    <row r="74" spans="1:5" x14ac:dyDescent="0.4">
      <c r="A74" s="32" t="s">
        <v>75</v>
      </c>
      <c r="B74" s="33">
        <f>HLOOKUP(SUBSTITUTE(CONCATENATE(SUBSTITUTE(SUBSTITUTE(A74,"歳","")," ",""),"_男")," ",""),[4]データ貼り付けシート!$1:$2,2,FALSE)</f>
        <v>703</v>
      </c>
      <c r="C74" s="33">
        <f>HLOOKUP(SUBSTITUTE(CONCATENATE(SUBSTITUTE(SUBSTITUTE(A74,"歳","")," ",""),"_女")," ",""),[4]データ貼り付けシート!$1:$2,2,FALSE)</f>
        <v>775</v>
      </c>
      <c r="D74" s="33">
        <f>HLOOKUP(SUBSTITUTE(CONCATENATE(SUBSTITUTE(SUBSTITUTE(A74,"歳","")," ",""),"_全体")," ",""),[4]データ貼り付けシート!$1:$2,2,FALSE)</f>
        <v>1478</v>
      </c>
      <c r="E74" s="31"/>
    </row>
    <row r="75" spans="1:5" x14ac:dyDescent="0.4">
      <c r="A75" s="32" t="s">
        <v>76</v>
      </c>
      <c r="B75" s="33">
        <f>HLOOKUP(SUBSTITUTE(CONCATENATE(SUBSTITUTE(SUBSTITUTE(A75,"歳","")," ",""),"_男")," ",""),[4]データ貼り付けシート!$1:$2,2,FALSE)</f>
        <v>555</v>
      </c>
      <c r="C75" s="33">
        <f>HLOOKUP(SUBSTITUTE(CONCATENATE(SUBSTITUTE(SUBSTITUTE(A75,"歳","")," ",""),"_女")," ",""),[4]データ貼り付けシート!$1:$2,2,FALSE)</f>
        <v>637</v>
      </c>
      <c r="D75" s="33">
        <f>HLOOKUP(SUBSTITUTE(CONCATENATE(SUBSTITUTE(SUBSTITUTE(A75,"歳","")," ",""),"_全体")," ",""),[4]データ貼り付けシート!$1:$2,2,FALSE)</f>
        <v>1192</v>
      </c>
      <c r="E75" s="31"/>
    </row>
    <row r="76" spans="1:5" x14ac:dyDescent="0.4">
      <c r="A76" s="32" t="s">
        <v>77</v>
      </c>
      <c r="B76" s="33">
        <f>HLOOKUP(SUBSTITUTE(CONCATENATE(SUBSTITUTE(SUBSTITUTE(A76,"歳","")," ",""),"_男")," ",""),[4]データ貼り付けシート!$1:$2,2,FALSE)</f>
        <v>337</v>
      </c>
      <c r="C76" s="33">
        <f>HLOOKUP(SUBSTITUTE(CONCATENATE(SUBSTITUTE(SUBSTITUTE(A76,"歳","")," ",""),"_女")," ",""),[4]データ貼り付けシート!$1:$2,2,FALSE)</f>
        <v>424</v>
      </c>
      <c r="D76" s="33">
        <f>HLOOKUP(SUBSTITUTE(CONCATENATE(SUBSTITUTE(SUBSTITUTE(A76,"歳","")," ",""),"_全体")," ",""),[4]データ貼り付けシート!$1:$2,2,FALSE)</f>
        <v>761</v>
      </c>
      <c r="E76" s="31"/>
    </row>
    <row r="77" spans="1:5" x14ac:dyDescent="0.4">
      <c r="A77" s="32" t="s">
        <v>78</v>
      </c>
      <c r="B77" s="33">
        <f>HLOOKUP(SUBSTITUTE(CONCATENATE(SUBSTITUTE(SUBSTITUTE(A77,"歳","")," ",""),"_男")," ",""),[4]データ貼り付けシート!$1:$2,2,FALSE)</f>
        <v>452</v>
      </c>
      <c r="C77" s="33">
        <f>HLOOKUP(SUBSTITUTE(CONCATENATE(SUBSTITUTE(SUBSTITUTE(A77,"歳","")," ",""),"_女")," ",""),[4]データ貼り付けシート!$1:$2,2,FALSE)</f>
        <v>562</v>
      </c>
      <c r="D77" s="33">
        <f>HLOOKUP(SUBSTITUTE(CONCATENATE(SUBSTITUTE(SUBSTITUTE(A77,"歳","")," ",""),"_全体")," ",""),[4]データ貼り付けシート!$1:$2,2,FALSE)</f>
        <v>1014</v>
      </c>
      <c r="E77" s="31"/>
    </row>
    <row r="78" spans="1:5" x14ac:dyDescent="0.4">
      <c r="A78" s="32" t="s">
        <v>79</v>
      </c>
      <c r="B78" s="33">
        <f>HLOOKUP(SUBSTITUTE(CONCATENATE(SUBSTITUTE(SUBSTITUTE(A78,"歳","")," ",""),"_男")," ",""),[4]データ貼り付けシート!$1:$2,2,FALSE)</f>
        <v>539</v>
      </c>
      <c r="C78" s="33">
        <f>HLOOKUP(SUBSTITUTE(CONCATENATE(SUBSTITUTE(SUBSTITUTE(A78,"歳","")," ",""),"_女")," ",""),[4]データ貼り付けシート!$1:$2,2,FALSE)</f>
        <v>614</v>
      </c>
      <c r="D78" s="33">
        <f>HLOOKUP(SUBSTITUTE(CONCATENATE(SUBSTITUTE(SUBSTITUTE(A78,"歳","")," ",""),"_全体")," ",""),[4]データ貼り付けシート!$1:$2,2,FALSE)</f>
        <v>1153</v>
      </c>
      <c r="E78" s="31"/>
    </row>
    <row r="79" spans="1:5" x14ac:dyDescent="0.4">
      <c r="A79" s="32" t="s">
        <v>80</v>
      </c>
      <c r="B79" s="33">
        <f>HLOOKUP(SUBSTITUTE(CONCATENATE(SUBSTITUTE(SUBSTITUTE(A79,"歳","")," ",""),"_男")," ",""),[4]データ貼り付けシート!$1:$2,2,FALSE)</f>
        <v>464</v>
      </c>
      <c r="C79" s="33">
        <f>HLOOKUP(SUBSTITUTE(CONCATENATE(SUBSTITUTE(SUBSTITUTE(A79,"歳","")," ",""),"_女")," ",""),[4]データ貼り付けシート!$1:$2,2,FALSE)</f>
        <v>648</v>
      </c>
      <c r="D79" s="33">
        <f>HLOOKUP(SUBSTITUTE(CONCATENATE(SUBSTITUTE(SUBSTITUTE(A79,"歳","")," ",""),"_全体")," ",""),[4]データ貼り付けシート!$1:$2,2,FALSE)</f>
        <v>1112</v>
      </c>
      <c r="E79" s="31"/>
    </row>
    <row r="80" spans="1:5" x14ac:dyDescent="0.4">
      <c r="A80" s="32" t="s">
        <v>81</v>
      </c>
      <c r="B80" s="33">
        <f>HLOOKUP(SUBSTITUTE(CONCATENATE(SUBSTITUTE(SUBSTITUTE(A80,"歳","")," ",""),"_男")," ",""),[4]データ貼り付けシート!$1:$2,2,FALSE)</f>
        <v>543</v>
      </c>
      <c r="C80" s="33">
        <f>HLOOKUP(SUBSTITUTE(CONCATENATE(SUBSTITUTE(SUBSTITUTE(A80,"歳","")," ",""),"_女")," ",""),[4]データ貼り付けシート!$1:$2,2,FALSE)</f>
        <v>606</v>
      </c>
      <c r="D80" s="33">
        <f>HLOOKUP(SUBSTITUTE(CONCATENATE(SUBSTITUTE(SUBSTITUTE(A80,"歳","")," ",""),"_全体")," ",""),[4]データ貼り付けシート!$1:$2,2,FALSE)</f>
        <v>1149</v>
      </c>
      <c r="E80" s="31"/>
    </row>
    <row r="81" spans="1:5" x14ac:dyDescent="0.4">
      <c r="A81" s="32" t="s">
        <v>82</v>
      </c>
      <c r="B81" s="33">
        <f>HLOOKUP(SUBSTITUTE(CONCATENATE(SUBSTITUTE(SUBSTITUTE(A81,"歳","")," ",""),"_男")," ",""),[4]データ貼り付けシート!$1:$2,2,FALSE)</f>
        <v>444</v>
      </c>
      <c r="C81" s="33">
        <f>HLOOKUP(SUBSTITUTE(CONCATENATE(SUBSTITUTE(SUBSTITUTE(A81,"歳","")," ",""),"_女")," ",""),[4]データ貼り付けシート!$1:$2,2,FALSE)</f>
        <v>538</v>
      </c>
      <c r="D81" s="33">
        <f>HLOOKUP(SUBSTITUTE(CONCATENATE(SUBSTITUTE(SUBSTITUTE(A81,"歳","")," ",""),"_全体")," ",""),[4]データ貼り付けシート!$1:$2,2,FALSE)</f>
        <v>982</v>
      </c>
      <c r="E81" s="31"/>
    </row>
    <row r="82" spans="1:5" x14ac:dyDescent="0.4">
      <c r="A82" s="32" t="s">
        <v>83</v>
      </c>
      <c r="B82" s="33">
        <f>HLOOKUP(SUBSTITUTE(CONCATENATE(SUBSTITUTE(SUBSTITUTE(A82,"歳","")," ",""),"_男")," ",""),[4]データ貼り付けシート!$1:$2,2,FALSE)</f>
        <v>388</v>
      </c>
      <c r="C82" s="33">
        <f>HLOOKUP(SUBSTITUTE(CONCATENATE(SUBSTITUTE(SUBSTITUTE(A82,"歳","")," ",""),"_女")," ",""),[4]データ貼り付けシート!$1:$2,2,FALSE)</f>
        <v>459</v>
      </c>
      <c r="D82" s="33">
        <f>HLOOKUP(SUBSTITUTE(CONCATENATE(SUBSTITUTE(SUBSTITUTE(A82,"歳","")," ",""),"_全体")," ",""),[4]データ貼り付けシート!$1:$2,2,FALSE)</f>
        <v>847</v>
      </c>
      <c r="E82" s="31"/>
    </row>
    <row r="83" spans="1:5" x14ac:dyDescent="0.4">
      <c r="A83" s="32" t="s">
        <v>84</v>
      </c>
      <c r="B83" s="33">
        <f>HLOOKUP(SUBSTITUTE(CONCATENATE(SUBSTITUTE(SUBSTITUTE(A83,"歳","")," ",""),"_男")," ",""),[4]データ貼り付けシート!$1:$2,2,FALSE)</f>
        <v>312</v>
      </c>
      <c r="C83" s="33">
        <f>HLOOKUP(SUBSTITUTE(CONCATENATE(SUBSTITUTE(SUBSTITUTE(A83,"歳","")," ",""),"_女")," ",""),[4]データ貼り付けシート!$1:$2,2,FALSE)</f>
        <v>365</v>
      </c>
      <c r="D83" s="33">
        <f>HLOOKUP(SUBSTITUTE(CONCATENATE(SUBSTITUTE(SUBSTITUTE(A83,"歳","")," ",""),"_全体")," ",""),[4]データ貼り付けシート!$1:$2,2,FALSE)</f>
        <v>677</v>
      </c>
      <c r="E83" s="31"/>
    </row>
    <row r="84" spans="1:5" x14ac:dyDescent="0.4">
      <c r="A84" s="32" t="s">
        <v>85</v>
      </c>
      <c r="B84" s="33">
        <f>HLOOKUP(SUBSTITUTE(CONCATENATE(SUBSTITUTE(SUBSTITUTE(A84,"歳","")," ",""),"_男")," ",""),[4]データ貼り付けシート!$1:$2,2,FALSE)</f>
        <v>327</v>
      </c>
      <c r="C84" s="33">
        <f>HLOOKUP(SUBSTITUTE(CONCATENATE(SUBSTITUTE(SUBSTITUTE(A84,"歳","")," ",""),"_女")," ",""),[4]データ貼り付けシート!$1:$2,2,FALSE)</f>
        <v>385</v>
      </c>
      <c r="D84" s="33">
        <f>HLOOKUP(SUBSTITUTE(CONCATENATE(SUBSTITUTE(SUBSTITUTE(A84,"歳","")," ",""),"_全体")," ",""),[4]データ貼り付けシート!$1:$2,2,FALSE)</f>
        <v>712</v>
      </c>
      <c r="E84" s="31"/>
    </row>
    <row r="85" spans="1:5" x14ac:dyDescent="0.4">
      <c r="A85" s="32" t="s">
        <v>86</v>
      </c>
      <c r="B85" s="33">
        <f>HLOOKUP(SUBSTITUTE(CONCATENATE(SUBSTITUTE(SUBSTITUTE(A85,"歳","")," ",""),"_男")," ",""),[4]データ貼り付けシート!$1:$2,2,FALSE)</f>
        <v>290</v>
      </c>
      <c r="C85" s="33">
        <f>HLOOKUP(SUBSTITUTE(CONCATENATE(SUBSTITUTE(SUBSTITUTE(A85,"歳","")," ",""),"_女")," ",""),[4]データ貼り付けシート!$1:$2,2,FALSE)</f>
        <v>344</v>
      </c>
      <c r="D85" s="33">
        <f>HLOOKUP(SUBSTITUTE(CONCATENATE(SUBSTITUTE(SUBSTITUTE(A85,"歳","")," ",""),"_全体")," ",""),[4]データ貼り付けシート!$1:$2,2,FALSE)</f>
        <v>634</v>
      </c>
      <c r="E85" s="31"/>
    </row>
    <row r="86" spans="1:5" x14ac:dyDescent="0.4">
      <c r="A86" s="32" t="s">
        <v>87</v>
      </c>
      <c r="B86" s="33">
        <f>HLOOKUP(SUBSTITUTE(CONCATENATE(SUBSTITUTE(SUBSTITUTE(A86,"歳","")," ",""),"_男")," ",""),[4]データ貼り付けシート!$1:$2,2,FALSE)</f>
        <v>261</v>
      </c>
      <c r="C86" s="33">
        <f>HLOOKUP(SUBSTITUTE(CONCATENATE(SUBSTITUTE(SUBSTITUTE(A86,"歳","")," ",""),"_女")," ",""),[4]データ貼り付けシート!$1:$2,2,FALSE)</f>
        <v>324</v>
      </c>
      <c r="D86" s="33">
        <f>HLOOKUP(SUBSTITUTE(CONCATENATE(SUBSTITUTE(SUBSTITUTE(A86,"歳","")," ",""),"_全体")," ",""),[4]データ貼り付けシート!$1:$2,2,FALSE)</f>
        <v>585</v>
      </c>
      <c r="E86" s="31"/>
    </row>
    <row r="87" spans="1:5" x14ac:dyDescent="0.4">
      <c r="A87" s="32" t="s">
        <v>88</v>
      </c>
      <c r="B87" s="33">
        <f>HLOOKUP(SUBSTITUTE(CONCATENATE(SUBSTITUTE(SUBSTITUTE(A87,"歳","")," ",""),"_男")," ",""),[4]データ貼り付けシート!$1:$2,2,FALSE)</f>
        <v>201</v>
      </c>
      <c r="C87" s="33">
        <f>HLOOKUP(SUBSTITUTE(CONCATENATE(SUBSTITUTE(SUBSTITUTE(A87,"歳","")," ",""),"_女")," ",""),[4]データ貼り付けシート!$1:$2,2,FALSE)</f>
        <v>270</v>
      </c>
      <c r="D87" s="33">
        <f>HLOOKUP(SUBSTITUTE(CONCATENATE(SUBSTITUTE(SUBSTITUTE(A87,"歳","")," ",""),"_全体")," ",""),[4]データ貼り付けシート!$1:$2,2,FALSE)</f>
        <v>471</v>
      </c>
      <c r="E87" s="31"/>
    </row>
    <row r="88" spans="1:5" x14ac:dyDescent="0.4">
      <c r="A88" s="32" t="s">
        <v>89</v>
      </c>
      <c r="B88" s="33">
        <f>HLOOKUP(SUBSTITUTE(CONCATENATE(SUBSTITUTE(SUBSTITUTE(A88,"歳","")," ",""),"_男")," ",""),[4]データ貼り付けシート!$1:$2,2,FALSE)</f>
        <v>144</v>
      </c>
      <c r="C88" s="33">
        <f>HLOOKUP(SUBSTITUTE(CONCATENATE(SUBSTITUTE(SUBSTITUTE(A88,"歳","")," ",""),"_女")," ",""),[4]データ貼り付けシート!$1:$2,2,FALSE)</f>
        <v>275</v>
      </c>
      <c r="D88" s="33">
        <f>HLOOKUP(SUBSTITUTE(CONCATENATE(SUBSTITUTE(SUBSTITUTE(A88,"歳","")," ",""),"_全体")," ",""),[4]データ貼り付けシート!$1:$2,2,FALSE)</f>
        <v>419</v>
      </c>
      <c r="E88" s="31"/>
    </row>
    <row r="89" spans="1:5" x14ac:dyDescent="0.4">
      <c r="A89" s="32" t="s">
        <v>90</v>
      </c>
      <c r="B89" s="33">
        <f>HLOOKUP(SUBSTITUTE(CONCATENATE(SUBSTITUTE(SUBSTITUTE(A89,"歳","")," ",""),"_男")," ",""),[4]データ貼り付けシート!$1:$2,2,FALSE)</f>
        <v>131</v>
      </c>
      <c r="C89" s="33">
        <f>HLOOKUP(SUBSTITUTE(CONCATENATE(SUBSTITUTE(SUBSTITUTE(A89,"歳","")," ",""),"_女")," ",""),[4]データ貼り付けシート!$1:$2,2,FALSE)</f>
        <v>239</v>
      </c>
      <c r="D89" s="33">
        <f>HLOOKUP(SUBSTITUTE(CONCATENATE(SUBSTITUTE(SUBSTITUTE(A89,"歳","")," ",""),"_全体")," ",""),[4]データ貼り付けシート!$1:$2,2,FALSE)</f>
        <v>370</v>
      </c>
      <c r="E89" s="31"/>
    </row>
    <row r="90" spans="1:5" x14ac:dyDescent="0.4">
      <c r="A90" s="32" t="s">
        <v>91</v>
      </c>
      <c r="B90" s="33">
        <f>HLOOKUP(SUBSTITUTE(CONCATENATE(SUBSTITUTE(SUBSTITUTE(A90,"歳","")," ",""),"_男")," ",""),[4]データ貼り付けシート!$1:$2,2,FALSE)</f>
        <v>118</v>
      </c>
      <c r="C90" s="33">
        <f>HLOOKUP(SUBSTITUTE(CONCATENATE(SUBSTITUTE(SUBSTITUTE(A90,"歳","")," ",""),"_女")," ",""),[4]データ貼り付けシート!$1:$2,2,FALSE)</f>
        <v>194</v>
      </c>
      <c r="D90" s="33">
        <f>HLOOKUP(SUBSTITUTE(CONCATENATE(SUBSTITUTE(SUBSTITUTE(A90,"歳","")," ",""),"_全体")," ",""),[4]データ貼り付けシート!$1:$2,2,FALSE)</f>
        <v>312</v>
      </c>
      <c r="E90" s="31"/>
    </row>
    <row r="91" spans="1:5" x14ac:dyDescent="0.4">
      <c r="A91" s="32" t="s">
        <v>92</v>
      </c>
      <c r="B91" s="33">
        <f>HLOOKUP(SUBSTITUTE(CONCATENATE(SUBSTITUTE(SUBSTITUTE(A91,"歳","")," ",""),"_男")," ",""),[4]データ貼り付けシート!$1:$2,2,FALSE)</f>
        <v>94</v>
      </c>
      <c r="C91" s="33">
        <f>HLOOKUP(SUBSTITUTE(CONCATENATE(SUBSTITUTE(SUBSTITUTE(A91,"歳","")," ",""),"_女")," ",""),[4]データ貼り付けシート!$1:$2,2,FALSE)</f>
        <v>149</v>
      </c>
      <c r="D91" s="33">
        <f>HLOOKUP(SUBSTITUTE(CONCATENATE(SUBSTITUTE(SUBSTITUTE(A91,"歳","")," ",""),"_全体")," ",""),[4]データ貼り付けシート!$1:$2,2,FALSE)</f>
        <v>243</v>
      </c>
      <c r="E91" s="31"/>
    </row>
    <row r="92" spans="1:5" x14ac:dyDescent="0.4">
      <c r="A92" s="32" t="s">
        <v>93</v>
      </c>
      <c r="B92" s="33">
        <f>HLOOKUP(SUBSTITUTE(CONCATENATE(SUBSTITUTE(SUBSTITUTE(A92,"歳","")," ",""),"_男")," ",""),[4]データ貼り付けシート!$1:$2,2,FALSE)</f>
        <v>59</v>
      </c>
      <c r="C92" s="33">
        <f>HLOOKUP(SUBSTITUTE(CONCATENATE(SUBSTITUTE(SUBSTITUTE(A92,"歳","")," ",""),"_女")," ",""),[4]データ貼り付けシート!$1:$2,2,FALSE)</f>
        <v>157</v>
      </c>
      <c r="D92" s="33">
        <f>HLOOKUP(SUBSTITUTE(CONCATENATE(SUBSTITUTE(SUBSTITUTE(A92,"歳","")," ",""),"_全体")," ",""),[4]データ貼り付けシート!$1:$2,2,FALSE)</f>
        <v>216</v>
      </c>
      <c r="E92" s="31"/>
    </row>
    <row r="93" spans="1:5" x14ac:dyDescent="0.4">
      <c r="A93" s="32" t="s">
        <v>94</v>
      </c>
      <c r="B93" s="33">
        <f>HLOOKUP(SUBSTITUTE(CONCATENATE(SUBSTITUTE(SUBSTITUTE(A93,"歳","")," ",""),"_男")," ",""),[4]データ貼り付けシート!$1:$2,2,FALSE)</f>
        <v>61</v>
      </c>
      <c r="C93" s="33">
        <f>HLOOKUP(SUBSTITUTE(CONCATENATE(SUBSTITUTE(SUBSTITUTE(A93,"歳","")," ",""),"_女")," ",""),[4]データ貼り付けシート!$1:$2,2,FALSE)</f>
        <v>146</v>
      </c>
      <c r="D93" s="33">
        <f>HLOOKUP(SUBSTITUTE(CONCATENATE(SUBSTITUTE(SUBSTITUTE(A93,"歳","")," ",""),"_全体")," ",""),[4]データ貼り付けシート!$1:$2,2,FALSE)</f>
        <v>207</v>
      </c>
      <c r="E93" s="31"/>
    </row>
    <row r="94" spans="1:5" x14ac:dyDescent="0.4">
      <c r="A94" s="32" t="s">
        <v>95</v>
      </c>
      <c r="B94" s="33">
        <f>HLOOKUP(SUBSTITUTE(CONCATENATE(SUBSTITUTE(SUBSTITUTE(A94,"歳","")," ",""),"_男")," ",""),[4]データ貼り付けシート!$1:$2,2,FALSE)</f>
        <v>39</v>
      </c>
      <c r="C94" s="33">
        <f>HLOOKUP(SUBSTITUTE(CONCATENATE(SUBSTITUTE(SUBSTITUTE(A94,"歳","")," ",""),"_女")," ",""),[4]データ貼り付けシート!$1:$2,2,FALSE)</f>
        <v>94</v>
      </c>
      <c r="D94" s="33">
        <f>HLOOKUP(SUBSTITUTE(CONCATENATE(SUBSTITUTE(SUBSTITUTE(A94,"歳","")," ",""),"_全体")," ",""),[4]データ貼り付けシート!$1:$2,2,FALSE)</f>
        <v>133</v>
      </c>
      <c r="E94" s="31"/>
    </row>
    <row r="95" spans="1:5" x14ac:dyDescent="0.4">
      <c r="A95" s="32" t="s">
        <v>96</v>
      </c>
      <c r="B95" s="33">
        <f>HLOOKUP(SUBSTITUTE(CONCATENATE(SUBSTITUTE(SUBSTITUTE(A95,"歳","")," ",""),"_男")," ",""),[4]データ貼り付けシート!$1:$2,2,FALSE)</f>
        <v>32</v>
      </c>
      <c r="C95" s="33">
        <f>HLOOKUP(SUBSTITUTE(CONCATENATE(SUBSTITUTE(SUBSTITUTE(A95,"歳","")," ",""),"_女")," ",""),[4]データ貼り付けシート!$1:$2,2,FALSE)</f>
        <v>105</v>
      </c>
      <c r="D95" s="33">
        <f>HLOOKUP(SUBSTITUTE(CONCATENATE(SUBSTITUTE(SUBSTITUTE(A95,"歳","")," ",""),"_全体")," ",""),[4]データ貼り付けシート!$1:$2,2,FALSE)</f>
        <v>137</v>
      </c>
      <c r="E95" s="31"/>
    </row>
    <row r="96" spans="1:5" x14ac:dyDescent="0.4">
      <c r="A96" s="32" t="s">
        <v>97</v>
      </c>
      <c r="B96" s="33">
        <f>HLOOKUP(SUBSTITUTE(CONCATENATE(SUBSTITUTE(SUBSTITUTE(A96,"歳","")," ",""),"_男")," ",""),[4]データ貼り付けシート!$1:$2,2,FALSE)</f>
        <v>25</v>
      </c>
      <c r="C96" s="33">
        <f>HLOOKUP(SUBSTITUTE(CONCATENATE(SUBSTITUTE(SUBSTITUTE(A96,"歳","")," ",""),"_女")," ",""),[4]データ貼り付けシート!$1:$2,2,FALSE)</f>
        <v>73</v>
      </c>
      <c r="D96" s="33">
        <f>HLOOKUP(SUBSTITUTE(CONCATENATE(SUBSTITUTE(SUBSTITUTE(A96,"歳","")," ",""),"_全体")," ",""),[4]データ貼り付けシート!$1:$2,2,FALSE)</f>
        <v>98</v>
      </c>
      <c r="E96" s="31"/>
    </row>
    <row r="97" spans="1:5" x14ac:dyDescent="0.4">
      <c r="A97" s="32" t="s">
        <v>98</v>
      </c>
      <c r="B97" s="33">
        <f>HLOOKUP(SUBSTITUTE(CONCATENATE(SUBSTITUTE(SUBSTITUTE(A97,"歳","")," ",""),"_男")," ",""),[4]データ貼り付けシート!$1:$2,2,FALSE)</f>
        <v>13</v>
      </c>
      <c r="C97" s="33">
        <f>HLOOKUP(SUBSTITUTE(CONCATENATE(SUBSTITUTE(SUBSTITUTE(A97,"歳","")," ",""),"_女")," ",""),[4]データ貼り付けシート!$1:$2,2,FALSE)</f>
        <v>64</v>
      </c>
      <c r="D97" s="33">
        <f>HLOOKUP(SUBSTITUTE(CONCATENATE(SUBSTITUTE(SUBSTITUTE(A97,"歳","")," ",""),"_全体")," ",""),[4]データ貼り付けシート!$1:$2,2,FALSE)</f>
        <v>77</v>
      </c>
      <c r="E97" s="31"/>
    </row>
    <row r="98" spans="1:5" x14ac:dyDescent="0.4">
      <c r="A98" s="32" t="s">
        <v>99</v>
      </c>
      <c r="B98" s="33">
        <f>HLOOKUP(SUBSTITUTE(CONCATENATE(SUBSTITUTE(SUBSTITUTE(A98,"歳","")," ",""),"_男")," ",""),[4]データ貼り付けシート!$1:$2,2,FALSE)</f>
        <v>7</v>
      </c>
      <c r="C98" s="33">
        <f>HLOOKUP(SUBSTITUTE(CONCATENATE(SUBSTITUTE(SUBSTITUTE(A98,"歳","")," ",""),"_女")," ",""),[4]データ貼り付けシート!$1:$2,2,FALSE)</f>
        <v>52</v>
      </c>
      <c r="D98" s="33">
        <f>HLOOKUP(SUBSTITUTE(CONCATENATE(SUBSTITUTE(SUBSTITUTE(A98,"歳","")," ",""),"_全体")," ",""),[4]データ貼り付けシート!$1:$2,2,FALSE)</f>
        <v>59</v>
      </c>
      <c r="E98" s="31"/>
    </row>
    <row r="99" spans="1:5" x14ac:dyDescent="0.4">
      <c r="A99" s="32" t="s">
        <v>100</v>
      </c>
      <c r="B99" s="33">
        <f>HLOOKUP(SUBSTITUTE(CONCATENATE(SUBSTITUTE(SUBSTITUTE(A99,"歳","")," ",""),"_男")," ",""),[4]データ貼り付けシート!$1:$2,2,FALSE)</f>
        <v>9</v>
      </c>
      <c r="C99" s="33">
        <f>HLOOKUP(SUBSTITUTE(CONCATENATE(SUBSTITUTE(SUBSTITUTE(A99,"歳","")," ",""),"_女")," ",""),[4]データ貼り付けシート!$1:$2,2,FALSE)</f>
        <v>30</v>
      </c>
      <c r="D99" s="33">
        <f>HLOOKUP(SUBSTITUTE(CONCATENATE(SUBSTITUTE(SUBSTITUTE(A99,"歳","")," ",""),"_全体")," ",""),[4]データ貼り付けシート!$1:$2,2,FALSE)</f>
        <v>39</v>
      </c>
      <c r="E99" s="31"/>
    </row>
    <row r="100" spans="1:5" x14ac:dyDescent="0.4">
      <c r="A100" s="32" t="s">
        <v>101</v>
      </c>
      <c r="B100" s="33">
        <f>HLOOKUP(SUBSTITUTE(CONCATENATE(SUBSTITUTE(SUBSTITUTE(A100,"歳","")," ",""),"_男")," ",""),[4]データ貼り付けシート!$1:$2,2,FALSE)</f>
        <v>7</v>
      </c>
      <c r="C100" s="33">
        <f>HLOOKUP(SUBSTITUTE(CONCATENATE(SUBSTITUTE(SUBSTITUTE(A100,"歳","")," ",""),"_女")," ",""),[4]データ貼り付けシート!$1:$2,2,FALSE)</f>
        <v>33</v>
      </c>
      <c r="D100" s="33">
        <f>HLOOKUP(SUBSTITUTE(CONCATENATE(SUBSTITUTE(SUBSTITUTE(A100,"歳","")," ",""),"_全体")," ",""),[4]データ貼り付けシート!$1:$2,2,FALSE)</f>
        <v>40</v>
      </c>
      <c r="E100" s="31"/>
    </row>
    <row r="101" spans="1:5" x14ac:dyDescent="0.4">
      <c r="A101" s="32" t="s">
        <v>102</v>
      </c>
      <c r="B101" s="33">
        <f>HLOOKUP(SUBSTITUTE(CONCATENATE(SUBSTITUTE(SUBSTITUTE(A101,"歳","")," ",""),"_男")," ",""),[4]データ貼り付けシート!$1:$2,2,FALSE)</f>
        <v>5</v>
      </c>
      <c r="C101" s="33">
        <f>HLOOKUP(SUBSTITUTE(CONCATENATE(SUBSTITUTE(SUBSTITUTE(A101,"歳","")," ",""),"_女")," ",""),[4]データ貼り付けシート!$1:$2,2,FALSE)</f>
        <v>20</v>
      </c>
      <c r="D101" s="33">
        <f>HLOOKUP(SUBSTITUTE(CONCATENATE(SUBSTITUTE(SUBSTITUTE(A101,"歳","")," ",""),"_全体")," ",""),[4]データ貼り付けシート!$1:$2,2,FALSE)</f>
        <v>25</v>
      </c>
      <c r="E101" s="31"/>
    </row>
    <row r="102" spans="1:5" x14ac:dyDescent="0.4">
      <c r="A102" s="32" t="s">
        <v>103</v>
      </c>
      <c r="B102" s="33">
        <f>HLOOKUP(SUBSTITUTE(CONCATENATE(SUBSTITUTE(SUBSTITUTE(A102,"歳","")," ",""),"_男")," ",""),[4]データ貼り付けシート!$1:$2,2,FALSE)</f>
        <v>0</v>
      </c>
      <c r="C102" s="33">
        <f>HLOOKUP(SUBSTITUTE(CONCATENATE(SUBSTITUTE(SUBSTITUTE(A102,"歳","")," ",""),"_女")," ",""),[4]データ貼り付けシート!$1:$2,2,FALSE)</f>
        <v>19</v>
      </c>
      <c r="D102" s="33">
        <f>HLOOKUP(SUBSTITUTE(CONCATENATE(SUBSTITUTE(SUBSTITUTE(A102,"歳","")," ",""),"_全体")," ",""),[4]データ貼り付けシート!$1:$2,2,FALSE)</f>
        <v>19</v>
      </c>
      <c r="E102" s="31"/>
    </row>
    <row r="103" spans="1:5" x14ac:dyDescent="0.4">
      <c r="A103" s="32" t="s">
        <v>104</v>
      </c>
      <c r="B103" s="33">
        <f>HLOOKUP(SUBSTITUTE(CONCATENATE(SUBSTITUTE(SUBSTITUTE(A103,"歳","")," ",""),"_男")," ",""),[4]データ貼り付けシート!$1:$2,2,FALSE)</f>
        <v>1</v>
      </c>
      <c r="C103" s="33">
        <f>HLOOKUP(SUBSTITUTE(CONCATENATE(SUBSTITUTE(SUBSTITUTE(A103,"歳","")," ",""),"_女")," ",""),[4]データ貼り付けシート!$1:$2,2,FALSE)</f>
        <v>4</v>
      </c>
      <c r="D103" s="33">
        <f>HLOOKUP(SUBSTITUTE(CONCATENATE(SUBSTITUTE(SUBSTITUTE(A103,"歳","")," ",""),"_全体")," ",""),[4]データ貼り付けシート!$1:$2,2,FALSE)</f>
        <v>5</v>
      </c>
      <c r="E103" s="31"/>
    </row>
    <row r="104" spans="1:5" x14ac:dyDescent="0.4">
      <c r="A104" s="32" t="s">
        <v>105</v>
      </c>
      <c r="B104" s="33">
        <f>HLOOKUP(SUBSTITUTE(CONCATENATE(SUBSTITUTE(SUBSTITUTE(A104,"歳","")," ",""),"_男")," ",""),[4]データ貼り付けシート!$1:$2,2,FALSE)</f>
        <v>0</v>
      </c>
      <c r="C104" s="33">
        <f>HLOOKUP(SUBSTITUTE(CONCATENATE(SUBSTITUTE(SUBSTITUTE(A104,"歳","")," ",""),"_女")," ",""),[4]データ貼り付けシート!$1:$2,2,FALSE)</f>
        <v>4</v>
      </c>
      <c r="D104" s="33">
        <f>HLOOKUP(SUBSTITUTE(CONCATENATE(SUBSTITUTE(SUBSTITUTE(A104,"歳","")," ",""),"_全体")," ",""),[4]データ貼り付けシート!$1:$2,2,FALSE)</f>
        <v>4</v>
      </c>
      <c r="E104" s="31"/>
    </row>
    <row r="105" spans="1:5" x14ac:dyDescent="0.4">
      <c r="A105" s="32" t="s">
        <v>106</v>
      </c>
      <c r="B105" s="33">
        <f>HLOOKUP(SUBSTITUTE(CONCATENATE(SUBSTITUTE(SUBSTITUTE(A105,"歳","")," ",""),"_男")," ",""),[4]データ貼り付けシート!$1:$2,2,FALSE)</f>
        <v>1</v>
      </c>
      <c r="C105" s="33">
        <f>HLOOKUP(SUBSTITUTE(CONCATENATE(SUBSTITUTE(SUBSTITUTE(A105,"歳","")," ",""),"_女")," ",""),[4]データ貼り付けシート!$1:$2,2,FALSE)</f>
        <v>2</v>
      </c>
      <c r="D105" s="33">
        <f>HLOOKUP(SUBSTITUTE(CONCATENATE(SUBSTITUTE(SUBSTITUTE(A105,"歳","")," ",""),"_全体")," ",""),[4]データ貼り付けシート!$1:$2,2,FALSE)</f>
        <v>3</v>
      </c>
      <c r="E105" s="31"/>
    </row>
    <row r="106" spans="1:5" x14ac:dyDescent="0.4">
      <c r="A106" s="32" t="s">
        <v>107</v>
      </c>
      <c r="B106" s="33">
        <f>HLOOKUP(SUBSTITUTE(CONCATENATE(SUBSTITUTE(SUBSTITUTE(A106,"歳","")," ",""),"_男")," ",""),[4]データ貼り付けシート!$1:$2,2,FALSE)</f>
        <v>1</v>
      </c>
      <c r="C106" s="33">
        <f>HLOOKUP(SUBSTITUTE(CONCATENATE(SUBSTITUTE(SUBSTITUTE(A106,"歳","")," ",""),"_女")," ",""),[4]データ貼り付けシート!$1:$2,2,FALSE)</f>
        <v>3</v>
      </c>
      <c r="D106" s="33">
        <f>HLOOKUP(SUBSTITUTE(CONCATENATE(SUBSTITUTE(SUBSTITUTE(A106,"歳","")," ",""),"_全体")," ",""),[4]データ貼り付けシート!$1:$2,2,FALSE)</f>
        <v>4</v>
      </c>
      <c r="E106" s="31"/>
    </row>
    <row r="107" spans="1:5" x14ac:dyDescent="0.4">
      <c r="A107" s="32" t="s">
        <v>108</v>
      </c>
      <c r="B107" s="33">
        <f>HLOOKUP(SUBSTITUTE(CONCATENATE(SUBSTITUTE(SUBSTITUTE(A107,"歳","")," ",""),"_男")," ",""),[4]データ貼り付けシート!$1:$2,2,FALSE)</f>
        <v>0</v>
      </c>
      <c r="C107" s="33">
        <f>HLOOKUP(SUBSTITUTE(CONCATENATE(SUBSTITUTE(SUBSTITUTE(A107,"歳","")," ",""),"_女")," ",""),[4]データ貼り付けシート!$1:$2,2,FALSE)</f>
        <v>3</v>
      </c>
      <c r="D107" s="33">
        <f>HLOOKUP(SUBSTITUTE(CONCATENATE(SUBSTITUTE(SUBSTITUTE(A107,"歳","")," ",""),"_全体")," ",""),[4]データ貼り付けシート!$1:$2,2,FALSE)</f>
        <v>3</v>
      </c>
      <c r="E107" s="31"/>
    </row>
    <row r="108" spans="1:5" x14ac:dyDescent="0.4">
      <c r="A108" s="32" t="s">
        <v>137</v>
      </c>
      <c r="B108" s="33">
        <f>IF(ISERROR(HLOOKUP("105以上_男",[4]データ貼り付けシート!$1:$2,2,FALSE)),0,HLOOKUP("105以上_男",[4]データ貼り付けシート!$1:$2,2,FALSE))+IF(ISERROR(HLOOKUP("105_男",[4]データ貼り付けシート!$1:$2,2,FALSE)),0,HLOOKUP("105_男",[4]データ貼り付けシート!$1:$2,2,FALSE))</f>
        <v>0</v>
      </c>
      <c r="C108" s="33">
        <f>IF(ISERROR(HLOOKUP("105以上_女",[4]データ貼り付けシート!$1:$2,2,FALSE)),0,HLOOKUP("105以上_女",[4]データ貼り付けシート!$1:$2,2,FALSE))+IF(ISERROR(HLOOKUP("105_女",[4]データ貼り付けシート!$1:$2,2,FALSE)),0,HLOOKUP("105_女",[4]データ貼り付けシート!$1:$2,2,FALSE))</f>
        <v>0</v>
      </c>
      <c r="D108" s="33">
        <f>B108+C108</f>
        <v>0</v>
      </c>
      <c r="E108" s="31"/>
    </row>
    <row r="109" spans="1:5" x14ac:dyDescent="0.4">
      <c r="A109" s="32" t="s">
        <v>138</v>
      </c>
      <c r="B109" s="33">
        <f>IF(ISERROR(HLOOKUP("106以上_男",[4]データ貼り付けシート!$1:$2,2,FALSE)),0,HLOOKUP("106以上_男",[4]データ貼り付けシート!$1:$2,2,FALSE))+IF(ISERROR(HLOOKUP("106_男",[4]データ貼り付けシート!$1:$2,2,FALSE)),0,HLOOKUP("106_男",[4]データ貼り付けシート!$1:$2,2,FALSE))</f>
        <v>0</v>
      </c>
      <c r="C109" s="33">
        <f>IF(ISERROR(HLOOKUP("106以上_女",[4]データ貼り付けシート!$1:$2,2,FALSE)),0,HLOOKUP("106以上_女",[4]データ貼り付けシート!$1:$2,2,FALSE))+IF(ISERROR(HLOOKUP("106_女",[4]データ貼り付けシート!$1:$2,2,FALSE)),0,HLOOKUP("106_女",[4]データ貼り付けシート!$1:$2,2,FALSE))</f>
        <v>1</v>
      </c>
      <c r="D109" s="33">
        <f>B109+C109</f>
        <v>1</v>
      </c>
      <c r="E109" s="31"/>
    </row>
    <row r="110" spans="1:5" x14ac:dyDescent="0.4">
      <c r="A110" s="32" t="s">
        <v>139</v>
      </c>
      <c r="B110" s="33">
        <f>IF(ISERROR(HLOOKUP("107以上_男",[4]データ貼り付けシート!$1:$2,2,FALSE)),0,HLOOKUP("107以上_男",[4]データ貼り付けシート!$1:$2,2,FALSE))+IF(ISERROR(HLOOKUP("107_男",[4]データ貼り付けシート!$1:$2,2,FALSE)),0,HLOOKUP("107_男",[4]データ貼り付けシート!$1:$2,2,FALSE))</f>
        <v>0</v>
      </c>
      <c r="C110" s="33">
        <f>IF(ISERROR(HLOOKUP("107以上_女",[4]データ貼り付けシート!$1:$2,2,FALSE)),0,HLOOKUP("107以上_女",[4]データ貼り付けシート!$1:$2,2,FALSE))+IF(ISERROR(HLOOKUP("107_女",[4]データ貼り付けシート!$1:$2,2,FALSE)),0,HLOOKUP("107_女",[4]データ貼り付けシート!$1:$2,2,FALSE))</f>
        <v>0</v>
      </c>
      <c r="D110" s="33">
        <f>B110+C110</f>
        <v>0</v>
      </c>
      <c r="E110" s="31"/>
    </row>
    <row r="111" spans="1:5" x14ac:dyDescent="0.4">
      <c r="A111" s="32" t="s">
        <v>140</v>
      </c>
      <c r="B111" s="33">
        <f>IF(ISERROR(HLOOKUP("108以上_男",[4]データ貼り付けシート!$1:$2,2,FALSE)),0,HLOOKUP("108以上_男",[4]データ貼り付けシート!$1:$2,2,FALSE))+IF(ISERROR(HLOOKUP("108_男",[4]データ貼り付けシート!$1:$2,2,FALSE)),0,HLOOKUP("108_男",[4]データ貼り付けシート!$1:$2,2,FALSE))</f>
        <v>0</v>
      </c>
      <c r="C111" s="33">
        <f>IF(ISERROR(HLOOKUP("108以上_女",[4]データ貼り付けシート!$1:$2,2,FALSE)),0,HLOOKUP("108以上_女",[4]データ貼り付けシート!$1:$2,2,FALSE))+IF(ISERROR(HLOOKUP("108_女",[4]データ貼り付けシート!$1:$2,2,FALSE)),0,HLOOKUP("108_女",[4]データ貼り付けシート!$1:$2,2,FALSE))</f>
        <v>0</v>
      </c>
      <c r="D111" s="33">
        <f t="shared" ref="D111:D113" si="0">B111+C111</f>
        <v>0</v>
      </c>
      <c r="E111" s="31"/>
    </row>
    <row r="112" spans="1:5" x14ac:dyDescent="0.4">
      <c r="A112" s="32" t="s">
        <v>141</v>
      </c>
      <c r="B112" s="33">
        <f>IF(ISERROR(HLOOKUP("109以上_男",[4]データ貼り付けシート!$1:$2,2,FALSE)),0,HLOOKUP("109以上_男",[4]データ貼り付けシート!$1:$2,2,FALSE))+IF(ISERROR(HLOOKUP("109_男",[4]データ貼り付けシート!$1:$2,2,FALSE)),0,HLOOKUP("109_男",[4]データ貼り付けシート!$1:$2,2,FALSE))</f>
        <v>0</v>
      </c>
      <c r="C112" s="33">
        <f>IF(ISERROR(HLOOKUP("109以上_女",[4]データ貼り付けシート!$1:$2,2,FALSE)),0,HLOOKUP("109以上_女",[4]データ貼り付けシート!$1:$2,2,FALSE))+IF(ISERROR(HLOOKUP("109_女",[4]データ貼り付けシート!$1:$2,2,FALSE)),0,HLOOKUP("109_女",[4]データ貼り付けシート!$1:$2,2,FALSE))</f>
        <v>0</v>
      </c>
      <c r="D112" s="33">
        <f t="shared" si="0"/>
        <v>0</v>
      </c>
      <c r="E112" s="31"/>
    </row>
    <row r="113" spans="1:5" x14ac:dyDescent="0.4">
      <c r="A113" s="32" t="s">
        <v>142</v>
      </c>
      <c r="B113" s="33">
        <f>IF(ISERROR(HLOOKUP("110以上_男",[4]データ貼り付けシート!$1:$2,2,FALSE)),0,HLOOKUP("110以上_男",[4]データ貼り付けシート!$1:$2,2,FALSE))+IF(ISERROR(HLOOKUP("110_男",[4]データ貼り付けシート!$1:$2,2,FALSE)),0,HLOOKUP("110_男",[4]データ貼り付けシート!$1:$2,2,FALSE))</f>
        <v>0</v>
      </c>
      <c r="C113" s="33">
        <f>IF(ISERROR(HLOOKUP("110以上_女",[4]データ貼り付けシート!$1:$2,2,FALSE)),0,HLOOKUP("107以上_女",[4]データ貼り付けシート!$1:$2,2,FALSE))+IF(ISERROR(HLOOKUP("110_女",[4]データ貼り付けシート!$1:$2,2,FALSE)),0,HLOOKUP("110_女",[4]データ貼り付けシート!$1:$2,2,FALSE))</f>
        <v>0</v>
      </c>
      <c r="D113" s="33">
        <f t="shared" si="0"/>
        <v>0</v>
      </c>
      <c r="E113" s="31"/>
    </row>
    <row r="114" spans="1:5" x14ac:dyDescent="0.4">
      <c r="A114" s="31"/>
      <c r="B114" s="34"/>
      <c r="C114" s="34"/>
      <c r="D114" s="34"/>
      <c r="E114" s="31"/>
    </row>
    <row r="115" spans="1:5" x14ac:dyDescent="0.4">
      <c r="A115" s="35" t="s">
        <v>0</v>
      </c>
      <c r="B115" s="35" t="s">
        <v>1</v>
      </c>
      <c r="C115" s="36" t="s">
        <v>2</v>
      </c>
      <c r="D115" s="30" t="s">
        <v>3</v>
      </c>
      <c r="E115" s="31"/>
    </row>
    <row r="116" spans="1:5" x14ac:dyDescent="0.4">
      <c r="A116" s="35" t="s">
        <v>115</v>
      </c>
      <c r="B116" s="37">
        <f>SUM(B3:B8)</f>
        <v>2369</v>
      </c>
      <c r="C116" s="38">
        <f>SUM(C3:C8)</f>
        <v>2234</v>
      </c>
      <c r="D116" s="33">
        <f>B116+C116</f>
        <v>4603</v>
      </c>
      <c r="E116" s="31"/>
    </row>
    <row r="117" spans="1:5" x14ac:dyDescent="0.4">
      <c r="A117" s="35" t="s">
        <v>116</v>
      </c>
      <c r="B117" s="37">
        <f>SUM(B9:B14)</f>
        <v>2209</v>
      </c>
      <c r="C117" s="37">
        <f>SUM(C9:C14)</f>
        <v>2145</v>
      </c>
      <c r="D117" s="33">
        <f>B117+C117</f>
        <v>4354</v>
      </c>
      <c r="E117" s="31"/>
    </row>
    <row r="118" spans="1:5" x14ac:dyDescent="0.4">
      <c r="A118" s="35" t="s">
        <v>117</v>
      </c>
      <c r="B118" s="37">
        <f>SUM(B15:B17)</f>
        <v>1164</v>
      </c>
      <c r="C118" s="37">
        <f>SUM(C15:C17)</f>
        <v>1065</v>
      </c>
      <c r="D118" s="33">
        <f>B118+C118</f>
        <v>2229</v>
      </c>
      <c r="E118" s="31"/>
    </row>
    <row r="119" spans="1:5" x14ac:dyDescent="0.4">
      <c r="A119" s="35" t="s">
        <v>143</v>
      </c>
      <c r="B119" s="37">
        <f>SUM(B116:B118)</f>
        <v>5742</v>
      </c>
      <c r="C119" s="37">
        <f>SUM(C116:C118)</f>
        <v>5444</v>
      </c>
      <c r="D119" s="37">
        <f>SUM(D116:D118)</f>
        <v>11186</v>
      </c>
      <c r="E119" s="39">
        <f>D119/D135</f>
        <v>0.12970779220779222</v>
      </c>
    </row>
    <row r="120" spans="1:5" x14ac:dyDescent="0.4">
      <c r="A120" s="31"/>
      <c r="B120" s="31"/>
      <c r="C120" s="31"/>
      <c r="D120" s="31"/>
      <c r="E120" s="31"/>
    </row>
    <row r="121" spans="1:5" x14ac:dyDescent="0.4">
      <c r="A121" s="30" t="s">
        <v>0</v>
      </c>
      <c r="B121" s="30" t="s">
        <v>1</v>
      </c>
      <c r="C121" s="30" t="s">
        <v>2</v>
      </c>
      <c r="D121" s="30" t="s">
        <v>3</v>
      </c>
      <c r="E121" s="31"/>
    </row>
    <row r="122" spans="1:5" x14ac:dyDescent="0.4">
      <c r="A122" s="30" t="s">
        <v>119</v>
      </c>
      <c r="B122" s="33">
        <f>SUM(B18:B20)</f>
        <v>1202</v>
      </c>
      <c r="C122" s="33">
        <f>SUM(C18:C20)</f>
        <v>1161</v>
      </c>
      <c r="D122" s="33">
        <f t="shared" ref="D122:D126" si="1">B122+C122</f>
        <v>2363</v>
      </c>
      <c r="E122" s="31"/>
    </row>
    <row r="123" spans="1:5" x14ac:dyDescent="0.4">
      <c r="A123" s="30" t="s">
        <v>120</v>
      </c>
      <c r="B123" s="33">
        <f>SUM(B21:B32)</f>
        <v>5819</v>
      </c>
      <c r="C123" s="33">
        <f>SUM(C21:C32)</f>
        <v>5486</v>
      </c>
      <c r="D123" s="33">
        <f t="shared" si="1"/>
        <v>11305</v>
      </c>
      <c r="E123" s="31"/>
    </row>
    <row r="124" spans="1:5" x14ac:dyDescent="0.4">
      <c r="A124" s="30" t="s">
        <v>121</v>
      </c>
      <c r="B124" s="33">
        <f>SUM(B33:B42)</f>
        <v>5642</v>
      </c>
      <c r="C124" s="33">
        <f>SUM(C33:C42)</f>
        <v>5341</v>
      </c>
      <c r="D124" s="33">
        <f t="shared" si="1"/>
        <v>10983</v>
      </c>
      <c r="E124" s="31"/>
    </row>
    <row r="125" spans="1:5" x14ac:dyDescent="0.4">
      <c r="A125" s="30" t="s">
        <v>122</v>
      </c>
      <c r="B125" s="33">
        <f>SUM(B43:B52)</f>
        <v>7355</v>
      </c>
      <c r="C125" s="33">
        <f>SUM(C43:C52)</f>
        <v>6717</v>
      </c>
      <c r="D125" s="33">
        <f t="shared" si="1"/>
        <v>14072</v>
      </c>
      <c r="E125" s="31"/>
    </row>
    <row r="126" spans="1:5" x14ac:dyDescent="0.4">
      <c r="A126" s="40" t="s">
        <v>123</v>
      </c>
      <c r="B126" s="33">
        <f>SUM(B53:B67)</f>
        <v>7396</v>
      </c>
      <c r="C126" s="33">
        <f>SUM(C53:C67)</f>
        <v>6911</v>
      </c>
      <c r="D126" s="33">
        <f t="shared" si="1"/>
        <v>14307</v>
      </c>
      <c r="E126" s="31"/>
    </row>
    <row r="127" spans="1:5" ht="24" x14ac:dyDescent="0.4">
      <c r="A127" s="35" t="s">
        <v>144</v>
      </c>
      <c r="B127" s="38">
        <f>SUM(B122:B126)</f>
        <v>27414</v>
      </c>
      <c r="C127" s="38">
        <f>SUM(C122:C126)</f>
        <v>25616</v>
      </c>
      <c r="D127" s="38">
        <f>SUM(D122:D126)</f>
        <v>53030</v>
      </c>
      <c r="E127" s="39">
        <f>D127/D135</f>
        <v>0.61491187384044532</v>
      </c>
    </row>
    <row r="128" spans="1:5" x14ac:dyDescent="0.4">
      <c r="A128" s="31"/>
      <c r="B128" s="31"/>
      <c r="C128" s="31"/>
      <c r="D128" s="31"/>
      <c r="E128" s="31"/>
    </row>
    <row r="129" spans="1:5" x14ac:dyDescent="0.4">
      <c r="A129" s="30" t="s">
        <v>0</v>
      </c>
      <c r="B129" s="30" t="s">
        <v>1</v>
      </c>
      <c r="C129" s="30" t="s">
        <v>2</v>
      </c>
      <c r="D129" s="30" t="s">
        <v>3</v>
      </c>
      <c r="E129" s="31"/>
    </row>
    <row r="130" spans="1:5" x14ac:dyDescent="0.4">
      <c r="A130" s="30" t="s">
        <v>125</v>
      </c>
      <c r="B130" s="33">
        <f>SUM(B68:B72)</f>
        <v>2576</v>
      </c>
      <c r="C130" s="33">
        <f>SUM(C68:C72)</f>
        <v>2852</v>
      </c>
      <c r="D130" s="33">
        <f t="shared" ref="D130:D131" si="2">B130+C130</f>
        <v>5428</v>
      </c>
      <c r="E130" s="31"/>
    </row>
    <row r="131" spans="1:5" x14ac:dyDescent="0.4">
      <c r="A131" s="40" t="s">
        <v>126</v>
      </c>
      <c r="B131" s="33">
        <f>SUM(B73:B113)</f>
        <v>7196</v>
      </c>
      <c r="C131" s="33">
        <f>SUM(C73:C113)</f>
        <v>9400</v>
      </c>
      <c r="D131" s="33">
        <f t="shared" si="2"/>
        <v>16596</v>
      </c>
      <c r="E131" s="31"/>
    </row>
    <row r="132" spans="1:5" x14ac:dyDescent="0.4">
      <c r="A132" s="35" t="s">
        <v>135</v>
      </c>
      <c r="B132" s="38">
        <f>SUM(B130:B131)</f>
        <v>9772</v>
      </c>
      <c r="C132" s="38">
        <f>SUM(C130:C131)</f>
        <v>12252</v>
      </c>
      <c r="D132" s="38">
        <f>SUM(D130:D131)</f>
        <v>22024</v>
      </c>
      <c r="E132" s="39">
        <f>D132/D135</f>
        <v>0.25538033395176252</v>
      </c>
    </row>
    <row r="133" spans="1:5" x14ac:dyDescent="0.4">
      <c r="A133" s="31"/>
      <c r="B133" s="31"/>
      <c r="C133" s="31"/>
      <c r="D133" s="31"/>
      <c r="E133" s="31"/>
    </row>
    <row r="134" spans="1:5" x14ac:dyDescent="0.4">
      <c r="A134" s="154" t="s">
        <v>128</v>
      </c>
      <c r="B134" s="30" t="s">
        <v>1</v>
      </c>
      <c r="C134" s="30" t="s">
        <v>2</v>
      </c>
      <c r="D134" s="30" t="s">
        <v>3</v>
      </c>
      <c r="E134" s="31"/>
    </row>
    <row r="135" spans="1:5" x14ac:dyDescent="0.4">
      <c r="A135" s="155"/>
      <c r="B135" s="33">
        <f>SUM(B3:B113)</f>
        <v>42928</v>
      </c>
      <c r="C135" s="33">
        <f>SUM(C3:C113)</f>
        <v>43312</v>
      </c>
      <c r="D135" s="33">
        <f>B135+C135</f>
        <v>86240</v>
      </c>
      <c r="E135" s="31"/>
    </row>
    <row r="137" spans="1:5" x14ac:dyDescent="0.4">
      <c r="A137" s="28" t="s">
        <v>129</v>
      </c>
    </row>
  </sheetData>
  <mergeCells count="2">
    <mergeCell ref="A1:E1"/>
    <mergeCell ref="A134:A135"/>
  </mergeCells>
  <phoneticPr fontId="16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7"/>
  <sheetViews>
    <sheetView workbookViewId="0">
      <selection activeCell="D95" sqref="D95"/>
    </sheetView>
  </sheetViews>
  <sheetFormatPr defaultRowHeight="18.75" x14ac:dyDescent="0.4"/>
  <cols>
    <col min="1" max="6" width="9" style="41"/>
    <col min="7" max="7" width="35.125" style="41" bestFit="1" customWidth="1"/>
    <col min="8" max="16384" width="9" style="41"/>
  </cols>
  <sheetData>
    <row r="1" spans="1:7" ht="19.5" x14ac:dyDescent="0.4">
      <c r="A1" s="150" t="s">
        <v>158</v>
      </c>
      <c r="B1" s="150"/>
      <c r="C1" s="150"/>
      <c r="D1" s="150"/>
      <c r="E1" s="150"/>
      <c r="G1" s="42"/>
    </row>
    <row r="2" spans="1:7" x14ac:dyDescent="0.4">
      <c r="A2" s="43" t="s">
        <v>0</v>
      </c>
      <c r="B2" s="43" t="s">
        <v>1</v>
      </c>
      <c r="C2" s="43" t="s">
        <v>2</v>
      </c>
      <c r="D2" s="43" t="s">
        <v>3</v>
      </c>
      <c r="E2" s="44"/>
    </row>
    <row r="3" spans="1:7" x14ac:dyDescent="0.4">
      <c r="A3" s="45" t="s">
        <v>4</v>
      </c>
      <c r="B3" s="46">
        <f>HLOOKUP(SUBSTITUTE(CONCATENATE(SUBSTITUTE(SUBSTITUTE(A3,"歳","")," ",""),"_男")," ",""),[5]データ貼り付けシート!$1:$2,2,FALSE)</f>
        <v>400</v>
      </c>
      <c r="C3" s="46">
        <f>HLOOKUP(SUBSTITUTE(CONCATENATE(SUBSTITUTE(SUBSTITUTE(A3,"歳","")," ",""),"_女")," ",""),[5]データ貼り付けシート!$1:$2,2,FALSE)</f>
        <v>390</v>
      </c>
      <c r="D3" s="46">
        <f>HLOOKUP(SUBSTITUTE(CONCATENATE(SUBSTITUTE(SUBSTITUTE(A3,"歳","")," ",""),"_全体")," ",""),[5]データ貼り付けシート!$1:$2,2,FALSE)</f>
        <v>790</v>
      </c>
      <c r="E3" s="44"/>
    </row>
    <row r="4" spans="1:7" x14ac:dyDescent="0.4">
      <c r="A4" s="45" t="s">
        <v>5</v>
      </c>
      <c r="B4" s="46">
        <f>HLOOKUP(SUBSTITUTE(CONCATENATE(SUBSTITUTE(SUBSTITUTE(A4,"歳","")," ",""),"_男")," ",""),[5]データ貼り付けシート!$1:$2,2,FALSE)</f>
        <v>415</v>
      </c>
      <c r="C4" s="46">
        <f>HLOOKUP(SUBSTITUTE(CONCATENATE(SUBSTITUTE(SUBSTITUTE(A4,"歳","")," ",""),"_女")," ",""),[5]データ貼り付けシート!$1:$2,2,FALSE)</f>
        <v>391</v>
      </c>
      <c r="D4" s="46">
        <f>HLOOKUP(SUBSTITUTE(CONCATENATE(SUBSTITUTE(SUBSTITUTE(A4,"歳","")," ",""),"_全体")," ",""),[5]データ貼り付けシート!$1:$2,2,FALSE)</f>
        <v>806</v>
      </c>
      <c r="E4" s="44"/>
    </row>
    <row r="5" spans="1:7" x14ac:dyDescent="0.4">
      <c r="A5" s="45" t="s">
        <v>6</v>
      </c>
      <c r="B5" s="46">
        <f>HLOOKUP(SUBSTITUTE(CONCATENATE(SUBSTITUTE(SUBSTITUTE(A5,"歳","")," ",""),"_男")," ",""),[5]データ貼り付けシート!$1:$2,2,FALSE)</f>
        <v>399</v>
      </c>
      <c r="C5" s="46">
        <f>HLOOKUP(SUBSTITUTE(CONCATENATE(SUBSTITUTE(SUBSTITUTE(A5,"歳","")," ",""),"_女")," ",""),[5]データ貼り付けシート!$1:$2,2,FALSE)</f>
        <v>358</v>
      </c>
      <c r="D5" s="46">
        <f>HLOOKUP(SUBSTITUTE(CONCATENATE(SUBSTITUTE(SUBSTITUTE(A5,"歳","")," ",""),"_全体")," ",""),[5]データ貼り付けシート!$1:$2,2,FALSE)</f>
        <v>757</v>
      </c>
      <c r="E5" s="44"/>
    </row>
    <row r="6" spans="1:7" x14ac:dyDescent="0.4">
      <c r="A6" s="45" t="s">
        <v>7</v>
      </c>
      <c r="B6" s="46">
        <f>HLOOKUP(SUBSTITUTE(CONCATENATE(SUBSTITUTE(SUBSTITUTE(A6,"歳","")," ",""),"_男")," ",""),[5]データ貼り付けシート!$1:$2,2,FALSE)</f>
        <v>420</v>
      </c>
      <c r="C6" s="46">
        <f>HLOOKUP(SUBSTITUTE(CONCATENATE(SUBSTITUTE(SUBSTITUTE(A6,"歳","")," ",""),"_女")," ",""),[5]データ貼り付けシート!$1:$2,2,FALSE)</f>
        <v>370</v>
      </c>
      <c r="D6" s="46">
        <f>HLOOKUP(SUBSTITUTE(CONCATENATE(SUBSTITUTE(SUBSTITUTE(A6,"歳","")," ",""),"_全体")," ",""),[5]データ貼り付けシート!$1:$2,2,FALSE)</f>
        <v>790</v>
      </c>
      <c r="E6" s="44"/>
    </row>
    <row r="7" spans="1:7" x14ac:dyDescent="0.4">
      <c r="A7" s="45" t="s">
        <v>8</v>
      </c>
      <c r="B7" s="46">
        <f>HLOOKUP(SUBSTITUTE(CONCATENATE(SUBSTITUTE(SUBSTITUTE(A7,"歳","")," ",""),"_男")," ",""),[5]データ貼り付けシート!$1:$2,2,FALSE)</f>
        <v>334</v>
      </c>
      <c r="C7" s="46">
        <f>HLOOKUP(SUBSTITUTE(CONCATENATE(SUBSTITUTE(SUBSTITUTE(A7,"歳","")," ",""),"_女")," ",""),[5]データ貼り付けシート!$1:$2,2,FALSE)</f>
        <v>378</v>
      </c>
      <c r="D7" s="46">
        <f>HLOOKUP(SUBSTITUTE(CONCATENATE(SUBSTITUTE(SUBSTITUTE(A7,"歳","")," ",""),"_全体")," ",""),[5]データ貼り付けシート!$1:$2,2,FALSE)</f>
        <v>712</v>
      </c>
      <c r="E7" s="44"/>
    </row>
    <row r="8" spans="1:7" x14ac:dyDescent="0.4">
      <c r="A8" s="45" t="s">
        <v>9</v>
      </c>
      <c r="B8" s="46">
        <f>HLOOKUP(SUBSTITUTE(CONCATENATE(SUBSTITUTE(SUBSTITUTE(A8,"歳","")," ",""),"_男")," ",""),[5]データ貼り付けシート!$1:$2,2,FALSE)</f>
        <v>397</v>
      </c>
      <c r="C8" s="46">
        <f>HLOOKUP(SUBSTITUTE(CONCATENATE(SUBSTITUTE(SUBSTITUTE(A8,"歳","")," ",""),"_女")," ",""),[5]データ貼り付けシート!$1:$2,2,FALSE)</f>
        <v>362</v>
      </c>
      <c r="D8" s="46">
        <f>HLOOKUP(SUBSTITUTE(CONCATENATE(SUBSTITUTE(SUBSTITUTE(A8,"歳","")," ",""),"_全体")," ",""),[5]データ貼り付けシート!$1:$2,2,FALSE)</f>
        <v>759</v>
      </c>
      <c r="E8" s="44"/>
    </row>
    <row r="9" spans="1:7" x14ac:dyDescent="0.4">
      <c r="A9" s="45" t="s">
        <v>10</v>
      </c>
      <c r="B9" s="46">
        <f>HLOOKUP(SUBSTITUTE(CONCATENATE(SUBSTITUTE(SUBSTITUTE(A9,"歳","")," ",""),"_男")," ",""),[5]データ貼り付けシート!$1:$2,2,FALSE)</f>
        <v>367</v>
      </c>
      <c r="C9" s="46">
        <f>HLOOKUP(SUBSTITUTE(CONCATENATE(SUBSTITUTE(SUBSTITUTE(A9,"歳","")," ",""),"_女")," ",""),[5]データ貼り付けシート!$1:$2,2,FALSE)</f>
        <v>317</v>
      </c>
      <c r="D9" s="46">
        <f>HLOOKUP(SUBSTITUTE(CONCATENATE(SUBSTITUTE(SUBSTITUTE(A9,"歳","")," ",""),"_全体")," ",""),[5]データ貼り付けシート!$1:$2,2,FALSE)</f>
        <v>684</v>
      </c>
      <c r="E9" s="44"/>
    </row>
    <row r="10" spans="1:7" x14ac:dyDescent="0.4">
      <c r="A10" s="45" t="s">
        <v>11</v>
      </c>
      <c r="B10" s="46">
        <f>HLOOKUP(SUBSTITUTE(CONCATENATE(SUBSTITUTE(SUBSTITUTE(A10,"歳","")," ",""),"_男")," ",""),[5]データ貼り付けシート!$1:$2,2,FALSE)</f>
        <v>346</v>
      </c>
      <c r="C10" s="46">
        <f>HLOOKUP(SUBSTITUTE(CONCATENATE(SUBSTITUTE(SUBSTITUTE(A10,"歳","")," ",""),"_女")," ",""),[5]データ貼り付けシート!$1:$2,2,FALSE)</f>
        <v>384</v>
      </c>
      <c r="D10" s="46">
        <f>HLOOKUP(SUBSTITUTE(CONCATENATE(SUBSTITUTE(SUBSTITUTE(A10,"歳","")," ",""),"_全体")," ",""),[5]データ貼り付けシート!$1:$2,2,FALSE)</f>
        <v>730</v>
      </c>
      <c r="E10" s="44"/>
    </row>
    <row r="11" spans="1:7" x14ac:dyDescent="0.4">
      <c r="A11" s="45" t="s">
        <v>12</v>
      </c>
      <c r="B11" s="46">
        <f>HLOOKUP(SUBSTITUTE(CONCATENATE(SUBSTITUTE(SUBSTITUTE(A11,"歳","")," ",""),"_男")," ",""),[5]データ貼り付けシート!$1:$2,2,FALSE)</f>
        <v>376</v>
      </c>
      <c r="C11" s="46">
        <f>HLOOKUP(SUBSTITUTE(CONCATENATE(SUBSTITUTE(SUBSTITUTE(A11,"歳","")," ",""),"_女")," ",""),[5]データ貼り付けシート!$1:$2,2,FALSE)</f>
        <v>352</v>
      </c>
      <c r="D11" s="46">
        <f>HLOOKUP(SUBSTITUTE(CONCATENATE(SUBSTITUTE(SUBSTITUTE(A11,"歳","")," ",""),"_全体")," ",""),[5]データ貼り付けシート!$1:$2,2,FALSE)</f>
        <v>728</v>
      </c>
      <c r="E11" s="44"/>
    </row>
    <row r="12" spans="1:7" x14ac:dyDescent="0.4">
      <c r="A12" s="45" t="s">
        <v>13</v>
      </c>
      <c r="B12" s="46">
        <f>HLOOKUP(SUBSTITUTE(CONCATENATE(SUBSTITUTE(SUBSTITUTE(A12,"歳","")," ",""),"_男")," ",""),[5]データ貼り付けシート!$1:$2,2,FALSE)</f>
        <v>404</v>
      </c>
      <c r="C12" s="46">
        <f>HLOOKUP(SUBSTITUTE(CONCATENATE(SUBSTITUTE(SUBSTITUTE(A12,"歳","")," ",""),"_女")," ",""),[5]データ貼り付けシート!$1:$2,2,FALSE)</f>
        <v>359</v>
      </c>
      <c r="D12" s="46">
        <f>HLOOKUP(SUBSTITUTE(CONCATENATE(SUBSTITUTE(SUBSTITUTE(A12,"歳","")," ",""),"_全体")," ",""),[5]データ貼り付けシート!$1:$2,2,FALSE)</f>
        <v>763</v>
      </c>
      <c r="E12" s="44"/>
    </row>
    <row r="13" spans="1:7" x14ac:dyDescent="0.4">
      <c r="A13" s="45" t="s">
        <v>14</v>
      </c>
      <c r="B13" s="46">
        <f>HLOOKUP(SUBSTITUTE(CONCATENATE(SUBSTITUTE(SUBSTITUTE(A13,"歳","")," ",""),"_男")," ",""),[5]データ貼り付けシート!$1:$2,2,FALSE)</f>
        <v>343</v>
      </c>
      <c r="C13" s="46">
        <f>HLOOKUP(SUBSTITUTE(CONCATENATE(SUBSTITUTE(SUBSTITUTE(A13,"歳","")," ",""),"_女")," ",""),[5]データ貼り付けシート!$1:$2,2,FALSE)</f>
        <v>359</v>
      </c>
      <c r="D13" s="46">
        <f>HLOOKUP(SUBSTITUTE(CONCATENATE(SUBSTITUTE(SUBSTITUTE(A13,"歳","")," ",""),"_全体")," ",""),[5]データ貼り付けシート!$1:$2,2,FALSE)</f>
        <v>702</v>
      </c>
      <c r="E13" s="44"/>
    </row>
    <row r="14" spans="1:7" x14ac:dyDescent="0.4">
      <c r="A14" s="45" t="s">
        <v>15</v>
      </c>
      <c r="B14" s="46">
        <f>HLOOKUP(SUBSTITUTE(CONCATENATE(SUBSTITUTE(SUBSTITUTE(A14,"歳","")," ",""),"_男")," ",""),[5]データ貼り付けシート!$1:$2,2,FALSE)</f>
        <v>365</v>
      </c>
      <c r="C14" s="46">
        <f>HLOOKUP(SUBSTITUTE(CONCATENATE(SUBSTITUTE(SUBSTITUTE(A14,"歳","")," ",""),"_女")," ",""),[5]データ貼り付けシート!$1:$2,2,FALSE)</f>
        <v>380</v>
      </c>
      <c r="D14" s="46">
        <f>HLOOKUP(SUBSTITUTE(CONCATENATE(SUBSTITUTE(SUBSTITUTE(A14,"歳","")," ",""),"_全体")," ",""),[5]データ貼り付けシート!$1:$2,2,FALSE)</f>
        <v>745</v>
      </c>
      <c r="E14" s="44"/>
    </row>
    <row r="15" spans="1:7" x14ac:dyDescent="0.4">
      <c r="A15" s="45" t="s">
        <v>16</v>
      </c>
      <c r="B15" s="46">
        <f>HLOOKUP(SUBSTITUTE(CONCATENATE(SUBSTITUTE(SUBSTITUTE(A15,"歳","")," ",""),"_男")," ",""),[5]データ貼り付けシート!$1:$2,2,FALSE)</f>
        <v>384</v>
      </c>
      <c r="C15" s="46">
        <f>HLOOKUP(SUBSTITUTE(CONCATENATE(SUBSTITUTE(SUBSTITUTE(A15,"歳","")," ",""),"_女")," ",""),[5]データ貼り付けシート!$1:$2,2,FALSE)</f>
        <v>338</v>
      </c>
      <c r="D15" s="46">
        <f>HLOOKUP(SUBSTITUTE(CONCATENATE(SUBSTITUTE(SUBSTITUTE(A15,"歳","")," ",""),"_全体")," ",""),[5]データ貼り付けシート!$1:$2,2,FALSE)</f>
        <v>722</v>
      </c>
      <c r="E15" s="44"/>
    </row>
    <row r="16" spans="1:7" x14ac:dyDescent="0.4">
      <c r="A16" s="45" t="s">
        <v>17</v>
      </c>
      <c r="B16" s="46">
        <f>HLOOKUP(SUBSTITUTE(CONCATENATE(SUBSTITUTE(SUBSTITUTE(A16,"歳","")," ",""),"_男")," ",""),[5]データ貼り付けシート!$1:$2,2,FALSE)</f>
        <v>373</v>
      </c>
      <c r="C16" s="46">
        <f>HLOOKUP(SUBSTITUTE(CONCATENATE(SUBSTITUTE(SUBSTITUTE(A16,"歳","")," ",""),"_女")," ",""),[5]データ貼り付けシート!$1:$2,2,FALSE)</f>
        <v>370</v>
      </c>
      <c r="D16" s="46">
        <f>HLOOKUP(SUBSTITUTE(CONCATENATE(SUBSTITUTE(SUBSTITUTE(A16,"歳","")," ",""),"_全体")," ",""),[5]データ貼り付けシート!$1:$2,2,FALSE)</f>
        <v>743</v>
      </c>
      <c r="E16" s="44"/>
    </row>
    <row r="17" spans="1:5" x14ac:dyDescent="0.4">
      <c r="A17" s="45" t="s">
        <v>18</v>
      </c>
      <c r="B17" s="46">
        <f>HLOOKUP(SUBSTITUTE(CONCATENATE(SUBSTITUTE(SUBSTITUTE(A17,"歳","")," ",""),"_男")," ",""),[5]データ貼り付けシート!$1:$2,2,FALSE)</f>
        <v>415</v>
      </c>
      <c r="C17" s="46">
        <f>HLOOKUP(SUBSTITUTE(CONCATENATE(SUBSTITUTE(SUBSTITUTE(A17,"歳","")," ",""),"_女")," ",""),[5]データ貼り付けシート!$1:$2,2,FALSE)</f>
        <v>350</v>
      </c>
      <c r="D17" s="46">
        <f>HLOOKUP(SUBSTITUTE(CONCATENATE(SUBSTITUTE(SUBSTITUTE(A17,"歳","")," ",""),"_全体")," ",""),[5]データ貼り付けシート!$1:$2,2,FALSE)</f>
        <v>765</v>
      </c>
      <c r="E17" s="44"/>
    </row>
    <row r="18" spans="1:5" x14ac:dyDescent="0.4">
      <c r="A18" s="45" t="s">
        <v>19</v>
      </c>
      <c r="B18" s="46">
        <f>HLOOKUP(SUBSTITUTE(CONCATENATE(SUBSTITUTE(SUBSTITUTE(A18,"歳","")," ",""),"_男")," ",""),[5]データ貼り付けシート!$1:$2,2,FALSE)</f>
        <v>397</v>
      </c>
      <c r="C18" s="46">
        <f>HLOOKUP(SUBSTITUTE(CONCATENATE(SUBSTITUTE(SUBSTITUTE(A18,"歳","")," ",""),"_女")," ",""),[5]データ貼り付けシート!$1:$2,2,FALSE)</f>
        <v>379</v>
      </c>
      <c r="D18" s="46">
        <f>HLOOKUP(SUBSTITUTE(CONCATENATE(SUBSTITUTE(SUBSTITUTE(A18,"歳","")," ",""),"_全体")," ",""),[5]データ貼り付けシート!$1:$2,2,FALSE)</f>
        <v>776</v>
      </c>
      <c r="E18" s="44"/>
    </row>
    <row r="19" spans="1:5" x14ac:dyDescent="0.4">
      <c r="A19" s="45" t="s">
        <v>20</v>
      </c>
      <c r="B19" s="46">
        <f>HLOOKUP(SUBSTITUTE(CONCATENATE(SUBSTITUTE(SUBSTITUTE(A19,"歳","")," ",""),"_男")," ",""),[5]データ貼り付けシート!$1:$2,2,FALSE)</f>
        <v>365</v>
      </c>
      <c r="C19" s="46">
        <f>HLOOKUP(SUBSTITUTE(CONCATENATE(SUBSTITUTE(SUBSTITUTE(A19,"歳","")," ",""),"_女")," ",""),[5]データ貼り付けシート!$1:$2,2,FALSE)</f>
        <v>376</v>
      </c>
      <c r="D19" s="46">
        <f>HLOOKUP(SUBSTITUTE(CONCATENATE(SUBSTITUTE(SUBSTITUTE(A19,"歳","")," ",""),"_全体")," ",""),[5]データ貼り付けシート!$1:$2,2,FALSE)</f>
        <v>741</v>
      </c>
      <c r="E19" s="44"/>
    </row>
    <row r="20" spans="1:5" x14ac:dyDescent="0.4">
      <c r="A20" s="45" t="s">
        <v>21</v>
      </c>
      <c r="B20" s="46">
        <f>HLOOKUP(SUBSTITUTE(CONCATENATE(SUBSTITUTE(SUBSTITUTE(A20,"歳","")," ",""),"_男")," ",""),[5]データ貼り付けシート!$1:$2,2,FALSE)</f>
        <v>431</v>
      </c>
      <c r="C20" s="46">
        <f>HLOOKUP(SUBSTITUTE(CONCATENATE(SUBSTITUTE(SUBSTITUTE(A20,"歳","")," ",""),"_女")," ",""),[5]データ貼り付けシート!$1:$2,2,FALSE)</f>
        <v>410</v>
      </c>
      <c r="D20" s="46">
        <f>HLOOKUP(SUBSTITUTE(CONCATENATE(SUBSTITUTE(SUBSTITUTE(A20,"歳","")," ",""),"_全体")," ",""),[5]データ貼り付けシート!$1:$2,2,FALSE)</f>
        <v>841</v>
      </c>
      <c r="E20" s="44"/>
    </row>
    <row r="21" spans="1:5" x14ac:dyDescent="0.4">
      <c r="A21" s="45" t="s">
        <v>22</v>
      </c>
      <c r="B21" s="46">
        <f>HLOOKUP(SUBSTITUTE(CONCATENATE(SUBSTITUTE(SUBSTITUTE(A21,"歳","")," ",""),"_男")," ",""),[5]データ貼り付けシート!$1:$2,2,FALSE)</f>
        <v>454</v>
      </c>
      <c r="C21" s="46">
        <f>HLOOKUP(SUBSTITUTE(CONCATENATE(SUBSTITUTE(SUBSTITUTE(A21,"歳","")," ",""),"_女")," ",""),[5]データ貼り付けシート!$1:$2,2,FALSE)</f>
        <v>375</v>
      </c>
      <c r="D21" s="46">
        <f>HLOOKUP(SUBSTITUTE(CONCATENATE(SUBSTITUTE(SUBSTITUTE(A21,"歳","")," ",""),"_全体")," ",""),[5]データ貼り付けシート!$1:$2,2,FALSE)</f>
        <v>829</v>
      </c>
      <c r="E21" s="44"/>
    </row>
    <row r="22" spans="1:5" x14ac:dyDescent="0.4">
      <c r="A22" s="45" t="s">
        <v>23</v>
      </c>
      <c r="B22" s="46">
        <f>HLOOKUP(SUBSTITUTE(CONCATENATE(SUBSTITUTE(SUBSTITUTE(A22,"歳","")," ",""),"_男")," ",""),[5]データ貼り付けシート!$1:$2,2,FALSE)</f>
        <v>461</v>
      </c>
      <c r="C22" s="46">
        <f>HLOOKUP(SUBSTITUTE(CONCATENATE(SUBSTITUTE(SUBSTITUTE(A22,"歳","")," ",""),"_女")," ",""),[5]データ貼り付けシート!$1:$2,2,FALSE)</f>
        <v>446</v>
      </c>
      <c r="D22" s="46">
        <f>HLOOKUP(SUBSTITUTE(CONCATENATE(SUBSTITUTE(SUBSTITUTE(A22,"歳","")," ",""),"_全体")," ",""),[5]データ貼り付けシート!$1:$2,2,FALSE)</f>
        <v>907</v>
      </c>
      <c r="E22" s="44"/>
    </row>
    <row r="23" spans="1:5" x14ac:dyDescent="0.4">
      <c r="A23" s="45" t="s">
        <v>24</v>
      </c>
      <c r="B23" s="46">
        <f>HLOOKUP(SUBSTITUTE(CONCATENATE(SUBSTITUTE(SUBSTITUTE(A23,"歳","")," ",""),"_男")," ",""),[5]データ貼り付けシート!$1:$2,2,FALSE)</f>
        <v>472</v>
      </c>
      <c r="C23" s="46">
        <f>HLOOKUP(SUBSTITUTE(CONCATENATE(SUBSTITUTE(SUBSTITUTE(A23,"歳","")," ",""),"_女")," ",""),[5]データ貼り付けシート!$1:$2,2,FALSE)</f>
        <v>429</v>
      </c>
      <c r="D23" s="46">
        <f>HLOOKUP(SUBSTITUTE(CONCATENATE(SUBSTITUTE(SUBSTITUTE(A23,"歳","")," ",""),"_全体")," ",""),[5]データ貼り付けシート!$1:$2,2,FALSE)</f>
        <v>901</v>
      </c>
      <c r="E23" s="44"/>
    </row>
    <row r="24" spans="1:5" x14ac:dyDescent="0.4">
      <c r="A24" s="45" t="s">
        <v>25</v>
      </c>
      <c r="B24" s="46">
        <f>HLOOKUP(SUBSTITUTE(CONCATENATE(SUBSTITUTE(SUBSTITUTE(A24,"歳","")," ",""),"_男")," ",""),[5]データ貼り付けシート!$1:$2,2,FALSE)</f>
        <v>470</v>
      </c>
      <c r="C24" s="46">
        <f>HLOOKUP(SUBSTITUTE(CONCATENATE(SUBSTITUTE(SUBSTITUTE(A24,"歳","")," ",""),"_女")," ",""),[5]データ貼り付けシート!$1:$2,2,FALSE)</f>
        <v>430</v>
      </c>
      <c r="D24" s="46">
        <f>HLOOKUP(SUBSTITUTE(CONCATENATE(SUBSTITUTE(SUBSTITUTE(A24,"歳","")," ",""),"_全体")," ",""),[5]データ貼り付けシート!$1:$2,2,FALSE)</f>
        <v>900</v>
      </c>
      <c r="E24" s="44"/>
    </row>
    <row r="25" spans="1:5" x14ac:dyDescent="0.4">
      <c r="A25" s="45" t="s">
        <v>26</v>
      </c>
      <c r="B25" s="46">
        <f>HLOOKUP(SUBSTITUTE(CONCATENATE(SUBSTITUTE(SUBSTITUTE(A25,"歳","")," ",""),"_男")," ",""),[5]データ貼り付けシート!$1:$2,2,FALSE)</f>
        <v>454</v>
      </c>
      <c r="C25" s="46">
        <f>HLOOKUP(SUBSTITUTE(CONCATENATE(SUBSTITUTE(SUBSTITUTE(A25,"歳","")," ",""),"_女")," ",""),[5]データ貼り付けシート!$1:$2,2,FALSE)</f>
        <v>472</v>
      </c>
      <c r="D25" s="46">
        <f>HLOOKUP(SUBSTITUTE(CONCATENATE(SUBSTITUTE(SUBSTITUTE(A25,"歳","")," ",""),"_全体")," ",""),[5]データ貼り付けシート!$1:$2,2,FALSE)</f>
        <v>926</v>
      </c>
      <c r="E25" s="44"/>
    </row>
    <row r="26" spans="1:5" x14ac:dyDescent="0.4">
      <c r="A26" s="45" t="s">
        <v>27</v>
      </c>
      <c r="B26" s="46">
        <f>HLOOKUP(SUBSTITUTE(CONCATENATE(SUBSTITUTE(SUBSTITUTE(A26,"歳","")," ",""),"_男")," ",""),[5]データ貼り付けシート!$1:$2,2,FALSE)</f>
        <v>504</v>
      </c>
      <c r="C26" s="46">
        <f>HLOOKUP(SUBSTITUTE(CONCATENATE(SUBSTITUTE(SUBSTITUTE(A26,"歳","")," ",""),"_女")," ",""),[5]データ貼り付けシート!$1:$2,2,FALSE)</f>
        <v>468</v>
      </c>
      <c r="D26" s="46">
        <f>HLOOKUP(SUBSTITUTE(CONCATENATE(SUBSTITUTE(SUBSTITUTE(A26,"歳","")," ",""),"_全体")," ",""),[5]データ貼り付けシート!$1:$2,2,FALSE)</f>
        <v>972</v>
      </c>
      <c r="E26" s="44"/>
    </row>
    <row r="27" spans="1:5" x14ac:dyDescent="0.4">
      <c r="A27" s="45" t="s">
        <v>28</v>
      </c>
      <c r="B27" s="46">
        <f>HLOOKUP(SUBSTITUTE(CONCATENATE(SUBSTITUTE(SUBSTITUTE(A27,"歳","")," ",""),"_男")," ",""),[5]データ貼り付けシート!$1:$2,2,FALSE)</f>
        <v>487</v>
      </c>
      <c r="C27" s="46">
        <f>HLOOKUP(SUBSTITUTE(CONCATENATE(SUBSTITUTE(SUBSTITUTE(A27,"歳","")," ",""),"_女")," ",""),[5]データ貼り付けシート!$1:$2,2,FALSE)</f>
        <v>442</v>
      </c>
      <c r="D27" s="46">
        <f>HLOOKUP(SUBSTITUTE(CONCATENATE(SUBSTITUTE(SUBSTITUTE(A27,"歳","")," ",""),"_全体")," ",""),[5]データ貼り付けシート!$1:$2,2,FALSE)</f>
        <v>929</v>
      </c>
      <c r="E27" s="44"/>
    </row>
    <row r="28" spans="1:5" x14ac:dyDescent="0.4">
      <c r="A28" s="45" t="s">
        <v>29</v>
      </c>
      <c r="B28" s="46">
        <f>HLOOKUP(SUBSTITUTE(CONCATENATE(SUBSTITUTE(SUBSTITUTE(A28,"歳","")," ",""),"_男")," ",""),[5]データ貼り付けシート!$1:$2,2,FALSE)</f>
        <v>533</v>
      </c>
      <c r="C28" s="46">
        <f>HLOOKUP(SUBSTITUTE(CONCATENATE(SUBSTITUTE(SUBSTITUTE(A28,"歳","")," ",""),"_女")," ",""),[5]データ貼り付けシート!$1:$2,2,FALSE)</f>
        <v>445</v>
      </c>
      <c r="D28" s="46">
        <f>HLOOKUP(SUBSTITUTE(CONCATENATE(SUBSTITUTE(SUBSTITUTE(A28,"歳","")," ",""),"_全体")," ",""),[5]データ貼り付けシート!$1:$2,2,FALSE)</f>
        <v>978</v>
      </c>
      <c r="E28" s="44"/>
    </row>
    <row r="29" spans="1:5" x14ac:dyDescent="0.4">
      <c r="A29" s="45" t="s">
        <v>30</v>
      </c>
      <c r="B29" s="46">
        <f>HLOOKUP(SUBSTITUTE(CONCATENATE(SUBSTITUTE(SUBSTITUTE(A29,"歳","")," ",""),"_男")," ",""),[5]データ貼り付けシート!$1:$2,2,FALSE)</f>
        <v>493</v>
      </c>
      <c r="C29" s="46">
        <f>HLOOKUP(SUBSTITUTE(CONCATENATE(SUBSTITUTE(SUBSTITUTE(A29,"歳","")," ",""),"_女")," ",""),[5]データ貼り付けシート!$1:$2,2,FALSE)</f>
        <v>469</v>
      </c>
      <c r="D29" s="46">
        <f>HLOOKUP(SUBSTITUTE(CONCATENATE(SUBSTITUTE(SUBSTITUTE(A29,"歳","")," ",""),"_全体")," ",""),[5]データ貼り付けシート!$1:$2,2,FALSE)</f>
        <v>962</v>
      </c>
      <c r="E29" s="44"/>
    </row>
    <row r="30" spans="1:5" x14ac:dyDescent="0.4">
      <c r="A30" s="45" t="s">
        <v>31</v>
      </c>
      <c r="B30" s="46">
        <f>HLOOKUP(SUBSTITUTE(CONCATENATE(SUBSTITUTE(SUBSTITUTE(A30,"歳","")," ",""),"_男")," ",""),[5]データ貼り付けシート!$1:$2,2,FALSE)</f>
        <v>494</v>
      </c>
      <c r="C30" s="46">
        <f>HLOOKUP(SUBSTITUTE(CONCATENATE(SUBSTITUTE(SUBSTITUTE(A30,"歳","")," ",""),"_女")," ",""),[5]データ貼り付けシート!$1:$2,2,FALSE)</f>
        <v>463</v>
      </c>
      <c r="D30" s="46">
        <f>HLOOKUP(SUBSTITUTE(CONCATENATE(SUBSTITUTE(SUBSTITUTE(A30,"歳","")," ",""),"_全体")," ",""),[5]データ貼り付けシート!$1:$2,2,FALSE)</f>
        <v>957</v>
      </c>
      <c r="E30" s="44"/>
    </row>
    <row r="31" spans="1:5" x14ac:dyDescent="0.4">
      <c r="A31" s="45" t="s">
        <v>32</v>
      </c>
      <c r="B31" s="46">
        <f>HLOOKUP(SUBSTITUTE(CONCATENATE(SUBSTITUTE(SUBSTITUTE(A31,"歳","")," ",""),"_男")," ",""),[5]データ貼り付けシート!$1:$2,2,FALSE)</f>
        <v>554</v>
      </c>
      <c r="C31" s="46">
        <f>HLOOKUP(SUBSTITUTE(CONCATENATE(SUBSTITUTE(SUBSTITUTE(A31,"歳","")," ",""),"_女")," ",""),[5]データ貼り付けシート!$1:$2,2,FALSE)</f>
        <v>522</v>
      </c>
      <c r="D31" s="46">
        <f>HLOOKUP(SUBSTITUTE(CONCATENATE(SUBSTITUTE(SUBSTITUTE(A31,"歳","")," ",""),"_全体")," ",""),[5]データ貼り付けシート!$1:$2,2,FALSE)</f>
        <v>1076</v>
      </c>
      <c r="E31" s="44"/>
    </row>
    <row r="32" spans="1:5" x14ac:dyDescent="0.4">
      <c r="A32" s="45" t="s">
        <v>33</v>
      </c>
      <c r="B32" s="46">
        <f>HLOOKUP(SUBSTITUTE(CONCATENATE(SUBSTITUTE(SUBSTITUTE(A32,"歳","")," ",""),"_男")," ",""),[5]データ貼り付けシート!$1:$2,2,FALSE)</f>
        <v>495</v>
      </c>
      <c r="C32" s="46">
        <f>HLOOKUP(SUBSTITUTE(CONCATENATE(SUBSTITUTE(SUBSTITUTE(A32,"歳","")," ",""),"_女")," ",""),[5]データ貼り付けシート!$1:$2,2,FALSE)</f>
        <v>515</v>
      </c>
      <c r="D32" s="46">
        <f>HLOOKUP(SUBSTITUTE(CONCATENATE(SUBSTITUTE(SUBSTITUTE(A32,"歳","")," ",""),"_全体")," ",""),[5]データ貼り付けシート!$1:$2,2,FALSE)</f>
        <v>1010</v>
      </c>
      <c r="E32" s="44"/>
    </row>
    <row r="33" spans="1:5" x14ac:dyDescent="0.4">
      <c r="A33" s="45" t="s">
        <v>34</v>
      </c>
      <c r="B33" s="46">
        <f>HLOOKUP(SUBSTITUTE(CONCATENATE(SUBSTITUTE(SUBSTITUTE(A33,"歳","")," ",""),"_男")," ",""),[5]データ貼り付けシート!$1:$2,2,FALSE)</f>
        <v>566</v>
      </c>
      <c r="C33" s="46">
        <f>HLOOKUP(SUBSTITUTE(CONCATENATE(SUBSTITUTE(SUBSTITUTE(A33,"歳","")," ",""),"_女")," ",""),[5]データ貼り付けシート!$1:$2,2,FALSE)</f>
        <v>533</v>
      </c>
      <c r="D33" s="46">
        <f>HLOOKUP(SUBSTITUTE(CONCATENATE(SUBSTITUTE(SUBSTITUTE(A33,"歳","")," ",""),"_全体")," ",""),[5]データ貼り付けシート!$1:$2,2,FALSE)</f>
        <v>1099</v>
      </c>
      <c r="E33" s="44"/>
    </row>
    <row r="34" spans="1:5" x14ac:dyDescent="0.4">
      <c r="A34" s="45" t="s">
        <v>35</v>
      </c>
      <c r="B34" s="46">
        <f>HLOOKUP(SUBSTITUTE(CONCATENATE(SUBSTITUTE(SUBSTITUTE(A34,"歳","")," ",""),"_男")," ",""),[5]データ貼り付けシート!$1:$2,2,FALSE)</f>
        <v>572</v>
      </c>
      <c r="C34" s="46">
        <f>HLOOKUP(SUBSTITUTE(CONCATENATE(SUBSTITUTE(SUBSTITUTE(A34,"歳","")," ",""),"_女")," ",""),[5]データ貼り付けシート!$1:$2,2,FALSE)</f>
        <v>538</v>
      </c>
      <c r="D34" s="46">
        <f>HLOOKUP(SUBSTITUTE(CONCATENATE(SUBSTITUTE(SUBSTITUTE(A34,"歳","")," ",""),"_全体")," ",""),[5]データ貼り付けシート!$1:$2,2,FALSE)</f>
        <v>1110</v>
      </c>
      <c r="E34" s="44"/>
    </row>
    <row r="35" spans="1:5" x14ac:dyDescent="0.4">
      <c r="A35" s="45" t="s">
        <v>36</v>
      </c>
      <c r="B35" s="46">
        <f>HLOOKUP(SUBSTITUTE(CONCATENATE(SUBSTITUTE(SUBSTITUTE(A35,"歳","")," ",""),"_男")," ",""),[5]データ貼り付けシート!$1:$2,2,FALSE)</f>
        <v>543</v>
      </c>
      <c r="C35" s="46">
        <f>HLOOKUP(SUBSTITUTE(CONCATENATE(SUBSTITUTE(SUBSTITUTE(A35,"歳","")," ",""),"_女")," ",""),[5]データ貼り付けシート!$1:$2,2,FALSE)</f>
        <v>528</v>
      </c>
      <c r="D35" s="46">
        <f>HLOOKUP(SUBSTITUTE(CONCATENATE(SUBSTITUTE(SUBSTITUTE(A35,"歳","")," ",""),"_全体")," ",""),[5]データ貼り付けシート!$1:$2,2,FALSE)</f>
        <v>1071</v>
      </c>
      <c r="E35" s="44"/>
    </row>
    <row r="36" spans="1:5" x14ac:dyDescent="0.4">
      <c r="A36" s="45" t="s">
        <v>37</v>
      </c>
      <c r="B36" s="46">
        <f>HLOOKUP(SUBSTITUTE(CONCATENATE(SUBSTITUTE(SUBSTITUTE(A36,"歳","")," ",""),"_男")," ",""),[5]データ貼り付けシート!$1:$2,2,FALSE)</f>
        <v>543</v>
      </c>
      <c r="C36" s="46">
        <f>HLOOKUP(SUBSTITUTE(CONCATENATE(SUBSTITUTE(SUBSTITUTE(A36,"歳","")," ",""),"_女")," ",""),[5]データ貼り付けシート!$1:$2,2,FALSE)</f>
        <v>530</v>
      </c>
      <c r="D36" s="46">
        <f>HLOOKUP(SUBSTITUTE(CONCATENATE(SUBSTITUTE(SUBSTITUTE(A36,"歳","")," ",""),"_全体")," ",""),[5]データ貼り付けシート!$1:$2,2,FALSE)</f>
        <v>1073</v>
      </c>
      <c r="E36" s="44"/>
    </row>
    <row r="37" spans="1:5" x14ac:dyDescent="0.4">
      <c r="A37" s="45" t="s">
        <v>38</v>
      </c>
      <c r="B37" s="46">
        <f>HLOOKUP(SUBSTITUTE(CONCATENATE(SUBSTITUTE(SUBSTITUTE(A37,"歳","")," ",""),"_男")," ",""),[5]データ貼り付けシート!$1:$2,2,FALSE)</f>
        <v>554</v>
      </c>
      <c r="C37" s="46">
        <f>HLOOKUP(SUBSTITUTE(CONCATENATE(SUBSTITUTE(SUBSTITUTE(A37,"歳","")," ",""),"_女")," ",""),[5]データ貼り付けシート!$1:$2,2,FALSE)</f>
        <v>504</v>
      </c>
      <c r="D37" s="46">
        <f>HLOOKUP(SUBSTITUTE(CONCATENATE(SUBSTITUTE(SUBSTITUTE(A37,"歳","")," ",""),"_全体")," ",""),[5]データ貼り付けシート!$1:$2,2,FALSE)</f>
        <v>1058</v>
      </c>
      <c r="E37" s="44"/>
    </row>
    <row r="38" spans="1:5" x14ac:dyDescent="0.4">
      <c r="A38" s="45" t="s">
        <v>39</v>
      </c>
      <c r="B38" s="46">
        <f>HLOOKUP(SUBSTITUTE(CONCATENATE(SUBSTITUTE(SUBSTITUTE(A38,"歳","")," ",""),"_男")," ",""),[5]データ貼り付けシート!$1:$2,2,FALSE)</f>
        <v>576</v>
      </c>
      <c r="C38" s="46">
        <f>HLOOKUP(SUBSTITUTE(CONCATENATE(SUBSTITUTE(SUBSTITUTE(A38,"歳","")," ",""),"_女")," ",""),[5]データ貼り付けシート!$1:$2,2,FALSE)</f>
        <v>541</v>
      </c>
      <c r="D38" s="46">
        <f>HLOOKUP(SUBSTITUTE(CONCATENATE(SUBSTITUTE(SUBSTITUTE(A38,"歳","")," ",""),"_全体")," ",""),[5]データ貼り付けシート!$1:$2,2,FALSE)</f>
        <v>1117</v>
      </c>
      <c r="E38" s="44"/>
    </row>
    <row r="39" spans="1:5" x14ac:dyDescent="0.4">
      <c r="A39" s="45" t="s">
        <v>40</v>
      </c>
      <c r="B39" s="46">
        <f>HLOOKUP(SUBSTITUTE(CONCATENATE(SUBSTITUTE(SUBSTITUTE(A39,"歳","")," ",""),"_男")," ",""),[5]データ貼り付けシート!$1:$2,2,FALSE)</f>
        <v>580</v>
      </c>
      <c r="C39" s="46">
        <f>HLOOKUP(SUBSTITUTE(CONCATENATE(SUBSTITUTE(SUBSTITUTE(A39,"歳","")," ",""),"_女")," ",""),[5]データ貼り付けシート!$1:$2,2,FALSE)</f>
        <v>555</v>
      </c>
      <c r="D39" s="46">
        <f>HLOOKUP(SUBSTITUTE(CONCATENATE(SUBSTITUTE(SUBSTITUTE(A39,"歳","")," ",""),"_全体")," ",""),[5]データ貼り付けシート!$1:$2,2,FALSE)</f>
        <v>1135</v>
      </c>
      <c r="E39" s="44"/>
    </row>
    <row r="40" spans="1:5" x14ac:dyDescent="0.4">
      <c r="A40" s="45" t="s">
        <v>41</v>
      </c>
      <c r="B40" s="46">
        <f>HLOOKUP(SUBSTITUTE(CONCATENATE(SUBSTITUTE(SUBSTITUTE(A40,"歳","")," ",""),"_男")," ",""),[5]データ貼り付けシート!$1:$2,2,FALSE)</f>
        <v>566</v>
      </c>
      <c r="C40" s="46">
        <f>HLOOKUP(SUBSTITUTE(CONCATENATE(SUBSTITUTE(SUBSTITUTE(A40,"歳","")," ",""),"_女")," ",""),[5]データ貼り付けシート!$1:$2,2,FALSE)</f>
        <v>543</v>
      </c>
      <c r="D40" s="46">
        <f>HLOOKUP(SUBSTITUTE(CONCATENATE(SUBSTITUTE(SUBSTITUTE(A40,"歳","")," ",""),"_全体")," ",""),[5]データ貼り付けシート!$1:$2,2,FALSE)</f>
        <v>1109</v>
      </c>
      <c r="E40" s="44"/>
    </row>
    <row r="41" spans="1:5" x14ac:dyDescent="0.4">
      <c r="A41" s="45" t="s">
        <v>42</v>
      </c>
      <c r="B41" s="46">
        <f>HLOOKUP(SUBSTITUTE(CONCATENATE(SUBSTITUTE(SUBSTITUTE(A41,"歳","")," ",""),"_男")," ",""),[5]データ貼り付けシート!$1:$2,2,FALSE)</f>
        <v>562</v>
      </c>
      <c r="C41" s="46">
        <f>HLOOKUP(SUBSTITUTE(CONCATENATE(SUBSTITUTE(SUBSTITUTE(A41,"歳","")," ",""),"_女")," ",""),[5]データ貼り付けシート!$1:$2,2,FALSE)</f>
        <v>523</v>
      </c>
      <c r="D41" s="46">
        <f>HLOOKUP(SUBSTITUTE(CONCATENATE(SUBSTITUTE(SUBSTITUTE(A41,"歳","")," ",""),"_全体")," ",""),[5]データ貼り付けシート!$1:$2,2,FALSE)</f>
        <v>1085</v>
      </c>
      <c r="E41" s="44"/>
    </row>
    <row r="42" spans="1:5" x14ac:dyDescent="0.4">
      <c r="A42" s="45" t="s">
        <v>43</v>
      </c>
      <c r="B42" s="46">
        <f>HLOOKUP(SUBSTITUTE(CONCATENATE(SUBSTITUTE(SUBSTITUTE(A42,"歳","")," ",""),"_男")," ",""),[5]データ貼り付けシート!$1:$2,2,FALSE)</f>
        <v>569</v>
      </c>
      <c r="C42" s="46">
        <f>HLOOKUP(SUBSTITUTE(CONCATENATE(SUBSTITUTE(SUBSTITUTE(A42,"歳","")," ",""),"_女")," ",""),[5]データ貼り付けシート!$1:$2,2,FALSE)</f>
        <v>552</v>
      </c>
      <c r="D42" s="46">
        <f>HLOOKUP(SUBSTITUTE(CONCATENATE(SUBSTITUTE(SUBSTITUTE(A42,"歳","")," ",""),"_全体")," ",""),[5]データ貼り付けシート!$1:$2,2,FALSE)</f>
        <v>1121</v>
      </c>
      <c r="E42" s="44"/>
    </row>
    <row r="43" spans="1:5" x14ac:dyDescent="0.4">
      <c r="A43" s="45" t="s">
        <v>44</v>
      </c>
      <c r="B43" s="46">
        <f>HLOOKUP(SUBSTITUTE(CONCATENATE(SUBSTITUTE(SUBSTITUTE(A43,"歳","")," ",""),"_男")," ",""),[5]データ貼り付けシート!$1:$2,2,FALSE)</f>
        <v>599</v>
      </c>
      <c r="C43" s="46">
        <f>HLOOKUP(SUBSTITUTE(CONCATENATE(SUBSTITUTE(SUBSTITUTE(A43,"歳","")," ",""),"_女")," ",""),[5]データ貼り付けシート!$1:$2,2,FALSE)</f>
        <v>553</v>
      </c>
      <c r="D43" s="46">
        <f>HLOOKUP(SUBSTITUTE(CONCATENATE(SUBSTITUTE(SUBSTITUTE(A43,"歳","")," ",""),"_全体")," ",""),[5]データ貼り付けシート!$1:$2,2,FALSE)</f>
        <v>1152</v>
      </c>
      <c r="E43" s="44"/>
    </row>
    <row r="44" spans="1:5" x14ac:dyDescent="0.4">
      <c r="A44" s="45" t="s">
        <v>45</v>
      </c>
      <c r="B44" s="46">
        <f>HLOOKUP(SUBSTITUTE(CONCATENATE(SUBSTITUTE(SUBSTITUTE(A44,"歳","")," ",""),"_男")," ",""),[5]データ貼り付けシート!$1:$2,2,FALSE)</f>
        <v>630</v>
      </c>
      <c r="C44" s="46">
        <f>HLOOKUP(SUBSTITUTE(CONCATENATE(SUBSTITUTE(SUBSTITUTE(A44,"歳","")," ",""),"_女")," ",""),[5]データ貼り付けシート!$1:$2,2,FALSE)</f>
        <v>601</v>
      </c>
      <c r="D44" s="46">
        <f>HLOOKUP(SUBSTITUTE(CONCATENATE(SUBSTITUTE(SUBSTITUTE(A44,"歳","")," ",""),"_全体")," ",""),[5]データ貼り付けシート!$1:$2,2,FALSE)</f>
        <v>1231</v>
      </c>
      <c r="E44" s="44"/>
    </row>
    <row r="45" spans="1:5" x14ac:dyDescent="0.4">
      <c r="A45" s="45" t="s">
        <v>46</v>
      </c>
      <c r="B45" s="46">
        <f>HLOOKUP(SUBSTITUTE(CONCATENATE(SUBSTITUTE(SUBSTITUTE(A45,"歳","")," ",""),"_男")," ",""),[5]データ貼り付けシート!$1:$2,2,FALSE)</f>
        <v>626</v>
      </c>
      <c r="C45" s="46">
        <f>HLOOKUP(SUBSTITUTE(CONCATENATE(SUBSTITUTE(SUBSTITUTE(A45,"歳","")," ",""),"_女")," ",""),[5]データ貼り付けシート!$1:$2,2,FALSE)</f>
        <v>590</v>
      </c>
      <c r="D45" s="46">
        <f>HLOOKUP(SUBSTITUTE(CONCATENATE(SUBSTITUTE(SUBSTITUTE(A45,"歳","")," ",""),"_全体")," ",""),[5]データ貼り付けシート!$1:$2,2,FALSE)</f>
        <v>1216</v>
      </c>
      <c r="E45" s="44"/>
    </row>
    <row r="46" spans="1:5" x14ac:dyDescent="0.4">
      <c r="A46" s="45" t="s">
        <v>47</v>
      </c>
      <c r="B46" s="46">
        <f>HLOOKUP(SUBSTITUTE(CONCATENATE(SUBSTITUTE(SUBSTITUTE(A46,"歳","")," ",""),"_男")," ",""),[5]データ貼り付けシート!$1:$2,2,FALSE)</f>
        <v>729</v>
      </c>
      <c r="C46" s="46">
        <f>HLOOKUP(SUBSTITUTE(CONCATENATE(SUBSTITUTE(SUBSTITUTE(A46,"歳","")," ",""),"_女")," ",""),[5]データ貼り付けシート!$1:$2,2,FALSE)</f>
        <v>648</v>
      </c>
      <c r="D46" s="46">
        <f>HLOOKUP(SUBSTITUTE(CONCATENATE(SUBSTITUTE(SUBSTITUTE(A46,"歳","")," ",""),"_全体")," ",""),[5]データ貼り付けシート!$1:$2,2,FALSE)</f>
        <v>1377</v>
      </c>
      <c r="E46" s="44"/>
    </row>
    <row r="47" spans="1:5" x14ac:dyDescent="0.4">
      <c r="A47" s="45" t="s">
        <v>48</v>
      </c>
      <c r="B47" s="46">
        <f>HLOOKUP(SUBSTITUTE(CONCATENATE(SUBSTITUTE(SUBSTITUTE(A47,"歳","")," ",""),"_男")," ",""),[5]データ貼り付けシート!$1:$2,2,FALSE)</f>
        <v>725</v>
      </c>
      <c r="C47" s="46">
        <f>HLOOKUP(SUBSTITUTE(CONCATENATE(SUBSTITUTE(SUBSTITUTE(A47,"歳","")," ",""),"_女")," ",""),[5]データ貼り付けシート!$1:$2,2,FALSE)</f>
        <v>698</v>
      </c>
      <c r="D47" s="46">
        <f>HLOOKUP(SUBSTITUTE(CONCATENATE(SUBSTITUTE(SUBSTITUTE(A47,"歳","")," ",""),"_全体")," ",""),[5]データ貼り付けシート!$1:$2,2,FALSE)</f>
        <v>1423</v>
      </c>
      <c r="E47" s="44"/>
    </row>
    <row r="48" spans="1:5" x14ac:dyDescent="0.4">
      <c r="A48" s="45" t="s">
        <v>49</v>
      </c>
      <c r="B48" s="46">
        <f>HLOOKUP(SUBSTITUTE(CONCATENATE(SUBSTITUTE(SUBSTITUTE(A48,"歳","")," ",""),"_男")," ",""),[5]データ貼り付けシート!$1:$2,2,FALSE)</f>
        <v>875</v>
      </c>
      <c r="C48" s="46">
        <f>HLOOKUP(SUBSTITUTE(CONCATENATE(SUBSTITUTE(SUBSTITUTE(A48,"歳","")," ",""),"_女")," ",""),[5]データ貼り付けシート!$1:$2,2,FALSE)</f>
        <v>749</v>
      </c>
      <c r="D48" s="46">
        <f>HLOOKUP(SUBSTITUTE(CONCATENATE(SUBSTITUTE(SUBSTITUTE(A48,"歳","")," ",""),"_全体")," ",""),[5]データ貼り付けシート!$1:$2,2,FALSE)</f>
        <v>1624</v>
      </c>
      <c r="E48" s="44"/>
    </row>
    <row r="49" spans="1:5" x14ac:dyDescent="0.4">
      <c r="A49" s="45" t="s">
        <v>50</v>
      </c>
      <c r="B49" s="46">
        <f>HLOOKUP(SUBSTITUTE(CONCATENATE(SUBSTITUTE(SUBSTITUTE(A49,"歳","")," ",""),"_男")," ",""),[5]データ貼り付けシート!$1:$2,2,FALSE)</f>
        <v>848</v>
      </c>
      <c r="C49" s="46">
        <f>HLOOKUP(SUBSTITUTE(CONCATENATE(SUBSTITUTE(SUBSTITUTE(A49,"歳","")," ",""),"_女")," ",""),[5]データ貼り付けシート!$1:$2,2,FALSE)</f>
        <v>783</v>
      </c>
      <c r="D49" s="46">
        <f>HLOOKUP(SUBSTITUTE(CONCATENATE(SUBSTITUTE(SUBSTITUTE(A49,"歳","")," ",""),"_全体")," ",""),[5]データ貼り付けシート!$1:$2,2,FALSE)</f>
        <v>1631</v>
      </c>
      <c r="E49" s="44"/>
    </row>
    <row r="50" spans="1:5" x14ac:dyDescent="0.4">
      <c r="A50" s="45" t="s">
        <v>51</v>
      </c>
      <c r="B50" s="46">
        <f>HLOOKUP(SUBSTITUTE(CONCATENATE(SUBSTITUTE(SUBSTITUTE(A50,"歳","")," ",""),"_男")," ",""),[5]データ貼り付けシート!$1:$2,2,FALSE)</f>
        <v>826</v>
      </c>
      <c r="C50" s="46">
        <f>HLOOKUP(SUBSTITUTE(CONCATENATE(SUBSTITUTE(SUBSTITUTE(A50,"歳","")," ",""),"_女")," ",""),[5]データ貼り付けシート!$1:$2,2,FALSE)</f>
        <v>733</v>
      </c>
      <c r="D50" s="46">
        <f>HLOOKUP(SUBSTITUTE(CONCATENATE(SUBSTITUTE(SUBSTITUTE(A50,"歳","")," ",""),"_全体")," ",""),[5]データ貼り付けシート!$1:$2,2,FALSE)</f>
        <v>1559</v>
      </c>
      <c r="E50" s="44"/>
    </row>
    <row r="51" spans="1:5" x14ac:dyDescent="0.4">
      <c r="A51" s="45" t="s">
        <v>52</v>
      </c>
      <c r="B51" s="46">
        <f>HLOOKUP(SUBSTITUTE(CONCATENATE(SUBSTITUTE(SUBSTITUTE(A51,"歳","")," ",""),"_男")," ",""),[5]データ貼り付けシート!$1:$2,2,FALSE)</f>
        <v>736</v>
      </c>
      <c r="C51" s="46">
        <f>HLOOKUP(SUBSTITUTE(CONCATENATE(SUBSTITUTE(SUBSTITUTE(A51,"歳","")," ",""),"_女")," ",""),[5]データ貼り付けシート!$1:$2,2,FALSE)</f>
        <v>708</v>
      </c>
      <c r="D51" s="46">
        <f>HLOOKUP(SUBSTITUTE(CONCATENATE(SUBSTITUTE(SUBSTITUTE(A51,"歳","")," ",""),"_全体")," ",""),[5]データ貼り付けシート!$1:$2,2,FALSE)</f>
        <v>1444</v>
      </c>
      <c r="E51" s="44"/>
    </row>
    <row r="52" spans="1:5" x14ac:dyDescent="0.4">
      <c r="A52" s="45" t="s">
        <v>53</v>
      </c>
      <c r="B52" s="46">
        <f>HLOOKUP(SUBSTITUTE(CONCATENATE(SUBSTITUTE(SUBSTITUTE(A52,"歳","")," ",""),"_男")," ",""),[5]データ貼り付けシート!$1:$2,2,FALSE)</f>
        <v>748</v>
      </c>
      <c r="C52" s="46">
        <f>HLOOKUP(SUBSTITUTE(CONCATENATE(SUBSTITUTE(SUBSTITUTE(A52,"歳","")," ",""),"_女")," ",""),[5]データ貼り付けシート!$1:$2,2,FALSE)</f>
        <v>662</v>
      </c>
      <c r="D52" s="46">
        <f>HLOOKUP(SUBSTITUTE(CONCATENATE(SUBSTITUTE(SUBSTITUTE(A52,"歳","")," ",""),"_全体")," ",""),[5]データ貼り付けシート!$1:$2,2,FALSE)</f>
        <v>1410</v>
      </c>
      <c r="E52" s="44"/>
    </row>
    <row r="53" spans="1:5" x14ac:dyDescent="0.4">
      <c r="A53" s="45" t="s">
        <v>54</v>
      </c>
      <c r="B53" s="46">
        <f>HLOOKUP(SUBSTITUTE(CONCATENATE(SUBSTITUTE(SUBSTITUTE(A53,"歳","")," ",""),"_男")," ",""),[5]データ貼り付けシート!$1:$2,2,FALSE)</f>
        <v>681</v>
      </c>
      <c r="C53" s="46">
        <f>HLOOKUP(SUBSTITUTE(CONCATENATE(SUBSTITUTE(SUBSTITUTE(A53,"歳","")," ",""),"_女")," ",""),[5]データ貼り付けシート!$1:$2,2,FALSE)</f>
        <v>603</v>
      </c>
      <c r="D53" s="46">
        <f>HLOOKUP(SUBSTITUTE(CONCATENATE(SUBSTITUTE(SUBSTITUTE(A53,"歳","")," ",""),"_全体")," ",""),[5]データ貼り付けシート!$1:$2,2,FALSE)</f>
        <v>1284</v>
      </c>
      <c r="E53" s="44"/>
    </row>
    <row r="54" spans="1:5" x14ac:dyDescent="0.4">
      <c r="A54" s="45" t="s">
        <v>55</v>
      </c>
      <c r="B54" s="46">
        <f>HLOOKUP(SUBSTITUTE(CONCATENATE(SUBSTITUTE(SUBSTITUTE(A54,"歳","")," ",""),"_男")," ",""),[5]データ貼り付けシート!$1:$2,2,FALSE)</f>
        <v>675</v>
      </c>
      <c r="C54" s="46">
        <f>HLOOKUP(SUBSTITUTE(CONCATENATE(SUBSTITUTE(SUBSTITUTE(A54,"歳","")," ",""),"_女")," ",""),[5]データ貼り付けシート!$1:$2,2,FALSE)</f>
        <v>606</v>
      </c>
      <c r="D54" s="46">
        <f>HLOOKUP(SUBSTITUTE(CONCATENATE(SUBSTITUTE(SUBSTITUTE(A54,"歳","")," ",""),"_全体")," ",""),[5]データ貼り付けシート!$1:$2,2,FALSE)</f>
        <v>1281</v>
      </c>
      <c r="E54" s="44"/>
    </row>
    <row r="55" spans="1:5" x14ac:dyDescent="0.4">
      <c r="A55" s="45" t="s">
        <v>56</v>
      </c>
      <c r="B55" s="46">
        <f>HLOOKUP(SUBSTITUTE(CONCATENATE(SUBSTITUTE(SUBSTITUTE(A55,"歳","")," ",""),"_男")," ",""),[5]データ貼り付けシート!$1:$2,2,FALSE)</f>
        <v>614</v>
      </c>
      <c r="C55" s="46">
        <f>HLOOKUP(SUBSTITUTE(CONCATENATE(SUBSTITUTE(SUBSTITUTE(A55,"歳","")," ",""),"_女")," ",""),[5]データ貼り付けシート!$1:$2,2,FALSE)</f>
        <v>518</v>
      </c>
      <c r="D55" s="46">
        <f>HLOOKUP(SUBSTITUTE(CONCATENATE(SUBSTITUTE(SUBSTITUTE(A55,"歳","")," ",""),"_全体")," ",""),[5]データ貼り付けシート!$1:$2,2,FALSE)</f>
        <v>1132</v>
      </c>
      <c r="E55" s="44"/>
    </row>
    <row r="56" spans="1:5" x14ac:dyDescent="0.4">
      <c r="A56" s="45" t="s">
        <v>57</v>
      </c>
      <c r="B56" s="46">
        <f>HLOOKUP(SUBSTITUTE(CONCATENATE(SUBSTITUTE(SUBSTITUTE(A56,"歳","")," ",""),"_男")," ",""),[5]データ貼り付けシート!$1:$2,2,FALSE)</f>
        <v>561</v>
      </c>
      <c r="C56" s="46">
        <f>HLOOKUP(SUBSTITUTE(CONCATENATE(SUBSTITUTE(SUBSTITUTE(A56,"歳","")," ",""),"_女")," ",""),[5]データ貼り付けシート!$1:$2,2,FALSE)</f>
        <v>457</v>
      </c>
      <c r="D56" s="46">
        <f>HLOOKUP(SUBSTITUTE(CONCATENATE(SUBSTITUTE(SUBSTITUTE(A56,"歳","")," ",""),"_全体")," ",""),[5]データ貼り付けシート!$1:$2,2,FALSE)</f>
        <v>1018</v>
      </c>
      <c r="E56" s="44"/>
    </row>
    <row r="57" spans="1:5" x14ac:dyDescent="0.4">
      <c r="A57" s="45" t="s">
        <v>58</v>
      </c>
      <c r="B57" s="46">
        <f>HLOOKUP(SUBSTITUTE(CONCATENATE(SUBSTITUTE(SUBSTITUTE(A57,"歳","")," ",""),"_男")," ",""),[5]データ貼り付けシート!$1:$2,2,FALSE)</f>
        <v>515</v>
      </c>
      <c r="C57" s="46">
        <f>HLOOKUP(SUBSTITUTE(CONCATENATE(SUBSTITUTE(SUBSTITUTE(A57,"歳","")," ",""),"_女")," ",""),[5]データ貼り付けシート!$1:$2,2,FALSE)</f>
        <v>510</v>
      </c>
      <c r="D57" s="46">
        <f>HLOOKUP(SUBSTITUTE(CONCATENATE(SUBSTITUTE(SUBSTITUTE(A57,"歳","")," ",""),"_全体")," ",""),[5]データ貼り付けシート!$1:$2,2,FALSE)</f>
        <v>1025</v>
      </c>
      <c r="E57" s="44"/>
    </row>
    <row r="58" spans="1:5" x14ac:dyDescent="0.4">
      <c r="A58" s="45" t="s">
        <v>59</v>
      </c>
      <c r="B58" s="46">
        <f>HLOOKUP(SUBSTITUTE(CONCATENATE(SUBSTITUTE(SUBSTITUTE(A58,"歳","")," ",""),"_男")," ",""),[5]データ貼り付けシート!$1:$2,2,FALSE)</f>
        <v>499</v>
      </c>
      <c r="C58" s="46">
        <f>HLOOKUP(SUBSTITUTE(CONCATENATE(SUBSTITUTE(SUBSTITUTE(A58,"歳","")," ",""),"_女")," ",""),[5]データ貼り付けシート!$1:$2,2,FALSE)</f>
        <v>482</v>
      </c>
      <c r="D58" s="46">
        <f>HLOOKUP(SUBSTITUTE(CONCATENATE(SUBSTITUTE(SUBSTITUTE(A58,"歳","")," ",""),"_全体")," ",""),[5]データ貼り付けシート!$1:$2,2,FALSE)</f>
        <v>981</v>
      </c>
      <c r="E58" s="44"/>
    </row>
    <row r="59" spans="1:5" x14ac:dyDescent="0.4">
      <c r="A59" s="45" t="s">
        <v>60</v>
      </c>
      <c r="B59" s="46">
        <f>HLOOKUP(SUBSTITUTE(CONCATENATE(SUBSTITUTE(SUBSTITUTE(A59,"歳","")," ",""),"_男")," ",""),[5]データ貼り付けシート!$1:$2,2,FALSE)</f>
        <v>481</v>
      </c>
      <c r="C59" s="46">
        <f>HLOOKUP(SUBSTITUTE(CONCATENATE(SUBSTITUTE(SUBSTITUTE(A59,"歳","")," ",""),"_女")," ",""),[5]データ貼り付けシート!$1:$2,2,FALSE)</f>
        <v>419</v>
      </c>
      <c r="D59" s="46">
        <f>HLOOKUP(SUBSTITUTE(CONCATENATE(SUBSTITUTE(SUBSTITUTE(A59,"歳","")," ",""),"_全体")," ",""),[5]データ貼り付けシート!$1:$2,2,FALSE)</f>
        <v>900</v>
      </c>
      <c r="E59" s="44"/>
    </row>
    <row r="60" spans="1:5" x14ac:dyDescent="0.4">
      <c r="A60" s="45" t="s">
        <v>61</v>
      </c>
      <c r="B60" s="46">
        <f>HLOOKUP(SUBSTITUTE(CONCATENATE(SUBSTITUTE(SUBSTITUTE(A60,"歳","")," ",""),"_男")," ",""),[5]データ貼り付けシート!$1:$2,2,FALSE)</f>
        <v>466</v>
      </c>
      <c r="C60" s="46">
        <f>HLOOKUP(SUBSTITUTE(CONCATENATE(SUBSTITUTE(SUBSTITUTE(A60,"歳","")," ",""),"_女")," ",""),[5]データ貼り付けシート!$1:$2,2,FALSE)</f>
        <v>430</v>
      </c>
      <c r="D60" s="46">
        <f>HLOOKUP(SUBSTITUTE(CONCATENATE(SUBSTITUTE(SUBSTITUTE(A60,"歳","")," ",""),"_全体")," ",""),[5]データ貼り付けシート!$1:$2,2,FALSE)</f>
        <v>896</v>
      </c>
      <c r="E60" s="44"/>
    </row>
    <row r="61" spans="1:5" x14ac:dyDescent="0.4">
      <c r="A61" s="45" t="s">
        <v>62</v>
      </c>
      <c r="B61" s="46">
        <f>HLOOKUP(SUBSTITUTE(CONCATENATE(SUBSTITUTE(SUBSTITUTE(A61,"歳","")," ",""),"_男")," ",""),[5]データ貼り付けシート!$1:$2,2,FALSE)</f>
        <v>419</v>
      </c>
      <c r="C61" s="46">
        <f>HLOOKUP(SUBSTITUTE(CONCATENATE(SUBSTITUTE(SUBSTITUTE(A61,"歳","")," ",""),"_女")," ",""),[5]データ貼り付けシート!$1:$2,2,FALSE)</f>
        <v>408</v>
      </c>
      <c r="D61" s="46">
        <f>HLOOKUP(SUBSTITUTE(CONCATENATE(SUBSTITUTE(SUBSTITUTE(A61,"歳","")," ",""),"_全体")," ",""),[5]データ貼り付けシート!$1:$2,2,FALSE)</f>
        <v>827</v>
      </c>
      <c r="E61" s="44"/>
    </row>
    <row r="62" spans="1:5" x14ac:dyDescent="0.4">
      <c r="A62" s="45" t="s">
        <v>63</v>
      </c>
      <c r="B62" s="46">
        <f>HLOOKUP(SUBSTITUTE(CONCATENATE(SUBSTITUTE(SUBSTITUTE(A62,"歳","")," ",""),"_男")," ",""),[5]データ貼り付けシート!$1:$2,2,FALSE)</f>
        <v>412</v>
      </c>
      <c r="C62" s="46">
        <f>HLOOKUP(SUBSTITUTE(CONCATENATE(SUBSTITUTE(SUBSTITUTE(A62,"歳","")," ",""),"_女")," ",""),[5]データ貼り付けシート!$1:$2,2,FALSE)</f>
        <v>401</v>
      </c>
      <c r="D62" s="46">
        <f>HLOOKUP(SUBSTITUTE(CONCATENATE(SUBSTITUTE(SUBSTITUTE(A62,"歳","")," ",""),"_全体")," ",""),[5]データ貼り付けシート!$1:$2,2,FALSE)</f>
        <v>813</v>
      </c>
      <c r="E62" s="44"/>
    </row>
    <row r="63" spans="1:5" x14ac:dyDescent="0.4">
      <c r="A63" s="45" t="s">
        <v>64</v>
      </c>
      <c r="B63" s="46">
        <f>HLOOKUP(SUBSTITUTE(CONCATENATE(SUBSTITUTE(SUBSTITUTE(A63,"歳","")," ",""),"_男")," ",""),[5]データ貼り付けシート!$1:$2,2,FALSE)</f>
        <v>447</v>
      </c>
      <c r="C63" s="46">
        <f>HLOOKUP(SUBSTITUTE(CONCATENATE(SUBSTITUTE(SUBSTITUTE(A63,"歳","")," ",""),"_女")," ",""),[5]データ貼り付けシート!$1:$2,2,FALSE)</f>
        <v>402</v>
      </c>
      <c r="D63" s="46">
        <f>HLOOKUP(SUBSTITUTE(CONCATENATE(SUBSTITUTE(SUBSTITUTE(A63,"歳","")," ",""),"_全体")," ",""),[5]データ貼り付けシート!$1:$2,2,FALSE)</f>
        <v>849</v>
      </c>
      <c r="E63" s="44"/>
    </row>
    <row r="64" spans="1:5" x14ac:dyDescent="0.4">
      <c r="A64" s="45" t="s">
        <v>65</v>
      </c>
      <c r="B64" s="46">
        <f>HLOOKUP(SUBSTITUTE(CONCATENATE(SUBSTITUTE(SUBSTITUTE(A64,"歳","")," ",""),"_男")," ",""),[5]データ貼り付けシート!$1:$2,2,FALSE)</f>
        <v>403</v>
      </c>
      <c r="C64" s="46">
        <f>HLOOKUP(SUBSTITUTE(CONCATENATE(SUBSTITUTE(SUBSTITUTE(A64,"歳","")," ",""),"_女")," ",""),[5]データ貼り付けシート!$1:$2,2,FALSE)</f>
        <v>398</v>
      </c>
      <c r="D64" s="46">
        <f>HLOOKUP(SUBSTITUTE(CONCATENATE(SUBSTITUTE(SUBSTITUTE(A64,"歳","")," ",""),"_全体")," ",""),[5]データ貼り付けシート!$1:$2,2,FALSE)</f>
        <v>801</v>
      </c>
      <c r="E64" s="44"/>
    </row>
    <row r="65" spans="1:5" x14ac:dyDescent="0.4">
      <c r="A65" s="45" t="s">
        <v>66</v>
      </c>
      <c r="B65" s="46">
        <f>HLOOKUP(SUBSTITUTE(CONCATENATE(SUBSTITUTE(SUBSTITUTE(A65,"歳","")," ",""),"_男")," ",""),[5]データ貼り付けシート!$1:$2,2,FALSE)</f>
        <v>410</v>
      </c>
      <c r="C65" s="46">
        <f>HLOOKUP(SUBSTITUTE(CONCATENATE(SUBSTITUTE(SUBSTITUTE(A65,"歳","")," ",""),"_女")," ",""),[5]データ貼り付けシート!$1:$2,2,FALSE)</f>
        <v>418</v>
      </c>
      <c r="D65" s="46">
        <f>HLOOKUP(SUBSTITUTE(CONCATENATE(SUBSTITUTE(SUBSTITUTE(A65,"歳","")," ",""),"_全体")," ",""),[5]データ貼り付けシート!$1:$2,2,FALSE)</f>
        <v>828</v>
      </c>
      <c r="E65" s="44"/>
    </row>
    <row r="66" spans="1:5" x14ac:dyDescent="0.4">
      <c r="A66" s="45" t="s">
        <v>67</v>
      </c>
      <c r="B66" s="46">
        <f>HLOOKUP(SUBSTITUTE(CONCATENATE(SUBSTITUTE(SUBSTITUTE(A66,"歳","")," ",""),"_男")," ",""),[5]データ貼り付けシート!$1:$2,2,FALSE)</f>
        <v>412</v>
      </c>
      <c r="C66" s="46">
        <f>HLOOKUP(SUBSTITUTE(CONCATENATE(SUBSTITUTE(SUBSTITUTE(A66,"歳","")," ",""),"_女")," ",""),[5]データ貼り付けシート!$1:$2,2,FALSE)</f>
        <v>415</v>
      </c>
      <c r="D66" s="46">
        <f>HLOOKUP(SUBSTITUTE(CONCATENATE(SUBSTITUTE(SUBSTITUTE(A66,"歳","")," ",""),"_全体")," ",""),[5]データ貼り付けシート!$1:$2,2,FALSE)</f>
        <v>827</v>
      </c>
      <c r="E66" s="44"/>
    </row>
    <row r="67" spans="1:5" x14ac:dyDescent="0.4">
      <c r="A67" s="45" t="s">
        <v>68</v>
      </c>
      <c r="B67" s="46">
        <f>HLOOKUP(SUBSTITUTE(CONCATENATE(SUBSTITUTE(SUBSTITUTE(A67,"歳","")," ",""),"_男")," ",""),[5]データ貼り付けシート!$1:$2,2,FALSE)</f>
        <v>444</v>
      </c>
      <c r="C67" s="46">
        <f>HLOOKUP(SUBSTITUTE(CONCATENATE(SUBSTITUTE(SUBSTITUTE(A67,"歳","")," ",""),"_女")," ",""),[5]データ貼り付けシート!$1:$2,2,FALSE)</f>
        <v>459</v>
      </c>
      <c r="D67" s="46">
        <f>HLOOKUP(SUBSTITUTE(CONCATENATE(SUBSTITUTE(SUBSTITUTE(A67,"歳","")," ",""),"_全体")," ",""),[5]データ貼り付けシート!$1:$2,2,FALSE)</f>
        <v>903</v>
      </c>
      <c r="E67" s="44"/>
    </row>
    <row r="68" spans="1:5" x14ac:dyDescent="0.4">
      <c r="A68" s="45" t="s">
        <v>69</v>
      </c>
      <c r="B68" s="46">
        <f>HLOOKUP(SUBSTITUTE(CONCATENATE(SUBSTITUTE(SUBSTITUTE(A68,"歳","")," ",""),"_男")," ",""),[5]データ貼り付けシート!$1:$2,2,FALSE)</f>
        <v>413</v>
      </c>
      <c r="C68" s="46">
        <f>HLOOKUP(SUBSTITUTE(CONCATENATE(SUBSTITUTE(SUBSTITUTE(A68,"歳","")," ",""),"_女")," ",""),[5]データ貼り付けシート!$1:$2,2,FALSE)</f>
        <v>461</v>
      </c>
      <c r="D68" s="46">
        <f>HLOOKUP(SUBSTITUTE(CONCATENATE(SUBSTITUTE(SUBSTITUTE(A68,"歳","")," ",""),"_全体")," ",""),[5]データ貼り付けシート!$1:$2,2,FALSE)</f>
        <v>874</v>
      </c>
      <c r="E68" s="44"/>
    </row>
    <row r="69" spans="1:5" x14ac:dyDescent="0.4">
      <c r="A69" s="45" t="s">
        <v>70</v>
      </c>
      <c r="B69" s="46">
        <f>HLOOKUP(SUBSTITUTE(CONCATENATE(SUBSTITUTE(SUBSTITUTE(A69,"歳","")," ",""),"_男")," ",""),[5]データ貼り付けシート!$1:$2,2,FALSE)</f>
        <v>428</v>
      </c>
      <c r="C69" s="46">
        <f>HLOOKUP(SUBSTITUTE(CONCATENATE(SUBSTITUTE(SUBSTITUTE(A69,"歳","")," ",""),"_女")," ",""),[5]データ貼り付けシート!$1:$2,2,FALSE)</f>
        <v>496</v>
      </c>
      <c r="D69" s="46">
        <f>HLOOKUP(SUBSTITUTE(CONCATENATE(SUBSTITUTE(SUBSTITUTE(A69,"歳","")," ",""),"_全体")," ",""),[5]データ貼り付けシート!$1:$2,2,FALSE)</f>
        <v>924</v>
      </c>
      <c r="E69" s="44"/>
    </row>
    <row r="70" spans="1:5" x14ac:dyDescent="0.4">
      <c r="A70" s="45" t="s">
        <v>71</v>
      </c>
      <c r="B70" s="46">
        <f>HLOOKUP(SUBSTITUTE(CONCATENATE(SUBSTITUTE(SUBSTITUTE(A70,"歳","")," ",""),"_男")," ",""),[5]データ貼り付けシート!$1:$2,2,FALSE)</f>
        <v>503</v>
      </c>
      <c r="C70" s="46">
        <f>HLOOKUP(SUBSTITUTE(CONCATENATE(SUBSTITUTE(SUBSTITUTE(A70,"歳","")," ",""),"_女")," ",""),[5]データ貼り付けシート!$1:$2,2,FALSE)</f>
        <v>555</v>
      </c>
      <c r="D70" s="46">
        <f>HLOOKUP(SUBSTITUTE(CONCATENATE(SUBSTITUTE(SUBSTITUTE(A70,"歳","")," ",""),"_全体")," ",""),[5]データ貼り付けシート!$1:$2,2,FALSE)</f>
        <v>1058</v>
      </c>
      <c r="E70" s="44"/>
    </row>
    <row r="71" spans="1:5" x14ac:dyDescent="0.4">
      <c r="A71" s="45" t="s">
        <v>72</v>
      </c>
      <c r="B71" s="46">
        <f>HLOOKUP(SUBSTITUTE(CONCATENATE(SUBSTITUTE(SUBSTITUTE(A71,"歳","")," ",""),"_男")," ",""),[5]データ貼り付けシート!$1:$2,2,FALSE)</f>
        <v>563</v>
      </c>
      <c r="C71" s="46">
        <f>HLOOKUP(SUBSTITUTE(CONCATENATE(SUBSTITUTE(SUBSTITUTE(A71,"歳","")," ",""),"_女")," ",""),[5]データ貼り付けシート!$1:$2,2,FALSE)</f>
        <v>599</v>
      </c>
      <c r="D71" s="46">
        <f>HLOOKUP(SUBSTITUTE(CONCATENATE(SUBSTITUTE(SUBSTITUTE(A71,"歳","")," ",""),"_全体")," ",""),[5]データ貼り付けシート!$1:$2,2,FALSE)</f>
        <v>1162</v>
      </c>
      <c r="E71" s="44"/>
    </row>
    <row r="72" spans="1:5" x14ac:dyDescent="0.4">
      <c r="A72" s="45" t="s">
        <v>73</v>
      </c>
      <c r="B72" s="46">
        <f>HLOOKUP(SUBSTITUTE(CONCATENATE(SUBSTITUTE(SUBSTITUTE(A72,"歳","")," ",""),"_男")," ",""),[5]データ貼り付けシート!$1:$2,2,FALSE)</f>
        <v>644</v>
      </c>
      <c r="C72" s="46">
        <f>HLOOKUP(SUBSTITUTE(CONCATENATE(SUBSTITUTE(SUBSTITUTE(A72,"歳","")," ",""),"_女")," ",""),[5]データ貼り付けシート!$1:$2,2,FALSE)</f>
        <v>716</v>
      </c>
      <c r="D72" s="46">
        <f>HLOOKUP(SUBSTITUTE(CONCATENATE(SUBSTITUTE(SUBSTITUTE(A72,"歳","")," ",""),"_全体")," ",""),[5]データ貼り付けシート!$1:$2,2,FALSE)</f>
        <v>1360</v>
      </c>
      <c r="E72" s="44"/>
    </row>
    <row r="73" spans="1:5" x14ac:dyDescent="0.4">
      <c r="A73" s="45" t="s">
        <v>74</v>
      </c>
      <c r="B73" s="46">
        <f>HLOOKUP(SUBSTITUTE(CONCATENATE(SUBSTITUTE(SUBSTITUTE(A73,"歳","")," ",""),"_男")," ",""),[5]データ貼り付けシート!$1:$2,2,FALSE)</f>
        <v>619</v>
      </c>
      <c r="C73" s="46">
        <f>HLOOKUP(SUBSTITUTE(CONCATENATE(SUBSTITUTE(SUBSTITUTE(A73,"歳","")," ",""),"_女")," ",""),[5]データ貼り付けシート!$1:$2,2,FALSE)</f>
        <v>776</v>
      </c>
      <c r="D73" s="46">
        <f>HLOOKUP(SUBSTITUTE(CONCATENATE(SUBSTITUTE(SUBSTITUTE(A73,"歳","")," ",""),"_全体")," ",""),[5]データ貼り付けシート!$1:$2,2,FALSE)</f>
        <v>1395</v>
      </c>
      <c r="E73" s="44"/>
    </row>
    <row r="74" spans="1:5" x14ac:dyDescent="0.4">
      <c r="A74" s="45" t="s">
        <v>75</v>
      </c>
      <c r="B74" s="46">
        <f>HLOOKUP(SUBSTITUTE(CONCATENATE(SUBSTITUTE(SUBSTITUTE(A74,"歳","")," ",""),"_男")," ",""),[5]データ貼り付けシート!$1:$2,2,FALSE)</f>
        <v>714</v>
      </c>
      <c r="C74" s="46">
        <f>HLOOKUP(SUBSTITUTE(CONCATENATE(SUBSTITUTE(SUBSTITUTE(A74,"歳","")," ",""),"_女")," ",""),[5]データ貼り付けシート!$1:$2,2,FALSE)</f>
        <v>782</v>
      </c>
      <c r="D74" s="46">
        <f>HLOOKUP(SUBSTITUTE(CONCATENATE(SUBSTITUTE(SUBSTITUTE(A74,"歳","")," ",""),"_全体")," ",""),[5]データ貼り付けシート!$1:$2,2,FALSE)</f>
        <v>1496</v>
      </c>
      <c r="E74" s="44"/>
    </row>
    <row r="75" spans="1:5" x14ac:dyDescent="0.4">
      <c r="A75" s="45" t="s">
        <v>76</v>
      </c>
      <c r="B75" s="46">
        <f>HLOOKUP(SUBSTITUTE(CONCATENATE(SUBSTITUTE(SUBSTITUTE(A75,"歳","")," ",""),"_男")," ",""),[5]データ貼り付けシート!$1:$2,2,FALSE)</f>
        <v>574</v>
      </c>
      <c r="C75" s="46">
        <f>HLOOKUP(SUBSTITUTE(CONCATENATE(SUBSTITUTE(SUBSTITUTE(A75,"歳","")," ",""),"_女")," ",""),[5]データ貼り付けシート!$1:$2,2,FALSE)</f>
        <v>652</v>
      </c>
      <c r="D75" s="46">
        <f>HLOOKUP(SUBSTITUTE(CONCATENATE(SUBSTITUTE(SUBSTITUTE(A75,"歳","")," ",""),"_全体")," ",""),[5]データ貼り付けシート!$1:$2,2,FALSE)</f>
        <v>1226</v>
      </c>
      <c r="E75" s="44"/>
    </row>
    <row r="76" spans="1:5" x14ac:dyDescent="0.4">
      <c r="A76" s="45" t="s">
        <v>77</v>
      </c>
      <c r="B76" s="46">
        <f>HLOOKUP(SUBSTITUTE(CONCATENATE(SUBSTITUTE(SUBSTITUTE(A76,"歳","")," ",""),"_男")," ",""),[5]データ貼り付けシート!$1:$2,2,FALSE)</f>
        <v>335</v>
      </c>
      <c r="C76" s="46">
        <f>HLOOKUP(SUBSTITUTE(CONCATENATE(SUBSTITUTE(SUBSTITUTE(A76,"歳","")," ",""),"_女")," ",""),[5]データ貼り付けシート!$1:$2,2,FALSE)</f>
        <v>422</v>
      </c>
      <c r="D76" s="46">
        <f>HLOOKUP(SUBSTITUTE(CONCATENATE(SUBSTITUTE(SUBSTITUTE(A76,"歳","")," ",""),"_全体")," ",""),[5]データ貼り付けシート!$1:$2,2,FALSE)</f>
        <v>757</v>
      </c>
      <c r="E76" s="44"/>
    </row>
    <row r="77" spans="1:5" x14ac:dyDescent="0.4">
      <c r="A77" s="45" t="s">
        <v>78</v>
      </c>
      <c r="B77" s="46">
        <f>HLOOKUP(SUBSTITUTE(CONCATENATE(SUBSTITUTE(SUBSTITUTE(A77,"歳","")," ",""),"_男")," ",""),[5]データ貼り付けシート!$1:$2,2,FALSE)</f>
        <v>450</v>
      </c>
      <c r="C77" s="46">
        <f>HLOOKUP(SUBSTITUTE(CONCATENATE(SUBSTITUTE(SUBSTITUTE(A77,"歳","")," ",""),"_女")," ",""),[5]データ貼り付けシート!$1:$2,2,FALSE)</f>
        <v>557</v>
      </c>
      <c r="D77" s="46">
        <f>HLOOKUP(SUBSTITUTE(CONCATENATE(SUBSTITUTE(SUBSTITUTE(A77,"歳","")," ",""),"_全体")," ",""),[5]データ貼り付けシート!$1:$2,2,FALSE)</f>
        <v>1007</v>
      </c>
      <c r="E77" s="44"/>
    </row>
    <row r="78" spans="1:5" x14ac:dyDescent="0.4">
      <c r="A78" s="45" t="s">
        <v>79</v>
      </c>
      <c r="B78" s="46">
        <f>HLOOKUP(SUBSTITUTE(CONCATENATE(SUBSTITUTE(SUBSTITUTE(A78,"歳","")," ",""),"_男")," ",""),[5]データ貼り付けシート!$1:$2,2,FALSE)</f>
        <v>542</v>
      </c>
      <c r="C78" s="46">
        <f>HLOOKUP(SUBSTITUTE(CONCATENATE(SUBSTITUTE(SUBSTITUTE(A78,"歳","")," ",""),"_女")," ",""),[5]データ貼り付けシート!$1:$2,2,FALSE)</f>
        <v>599</v>
      </c>
      <c r="D78" s="46">
        <f>HLOOKUP(SUBSTITUTE(CONCATENATE(SUBSTITUTE(SUBSTITUTE(A78,"歳","")," ",""),"_全体")," ",""),[5]データ貼り付けシート!$1:$2,2,FALSE)</f>
        <v>1141</v>
      </c>
      <c r="E78" s="44"/>
    </row>
    <row r="79" spans="1:5" x14ac:dyDescent="0.4">
      <c r="A79" s="45" t="s">
        <v>80</v>
      </c>
      <c r="B79" s="46">
        <f>HLOOKUP(SUBSTITUTE(CONCATENATE(SUBSTITUTE(SUBSTITUTE(A79,"歳","")," ",""),"_男")," ",""),[5]データ貼り付けシート!$1:$2,2,FALSE)</f>
        <v>447</v>
      </c>
      <c r="C79" s="46">
        <f>HLOOKUP(SUBSTITUTE(CONCATENATE(SUBSTITUTE(SUBSTITUTE(A79,"歳","")," ",""),"_女")," ",""),[5]データ貼り付けシート!$1:$2,2,FALSE)</f>
        <v>661</v>
      </c>
      <c r="D79" s="46">
        <f>HLOOKUP(SUBSTITUTE(CONCATENATE(SUBSTITUTE(SUBSTITUTE(A79,"歳","")," ",""),"_全体")," ",""),[5]データ貼り付けシート!$1:$2,2,FALSE)</f>
        <v>1108</v>
      </c>
      <c r="E79" s="44"/>
    </row>
    <row r="80" spans="1:5" x14ac:dyDescent="0.4">
      <c r="A80" s="45" t="s">
        <v>81</v>
      </c>
      <c r="B80" s="46">
        <f>HLOOKUP(SUBSTITUTE(CONCATENATE(SUBSTITUTE(SUBSTITUTE(A80,"歳","")," ",""),"_男")," ",""),[5]データ貼り付けシート!$1:$2,2,FALSE)</f>
        <v>550</v>
      </c>
      <c r="C80" s="46">
        <f>HLOOKUP(SUBSTITUTE(CONCATENATE(SUBSTITUTE(SUBSTITUTE(A80,"歳","")," ",""),"_女")," ",""),[5]データ貼り付けシート!$1:$2,2,FALSE)</f>
        <v>610</v>
      </c>
      <c r="D80" s="46">
        <f>HLOOKUP(SUBSTITUTE(CONCATENATE(SUBSTITUTE(SUBSTITUTE(A80,"歳","")," ",""),"_全体")," ",""),[5]データ貼り付けシート!$1:$2,2,FALSE)</f>
        <v>1160</v>
      </c>
      <c r="E80" s="44"/>
    </row>
    <row r="81" spans="1:5" x14ac:dyDescent="0.4">
      <c r="A81" s="45" t="s">
        <v>82</v>
      </c>
      <c r="B81" s="46">
        <f>HLOOKUP(SUBSTITUTE(CONCATENATE(SUBSTITUTE(SUBSTITUTE(A81,"歳","")," ",""),"_男")," ",""),[5]データ貼り付けシート!$1:$2,2,FALSE)</f>
        <v>447</v>
      </c>
      <c r="C81" s="46">
        <f>HLOOKUP(SUBSTITUTE(CONCATENATE(SUBSTITUTE(SUBSTITUTE(A81,"歳","")," ",""),"_女")," ",""),[5]データ貼り付けシート!$1:$2,2,FALSE)</f>
        <v>549</v>
      </c>
      <c r="D81" s="46">
        <f>HLOOKUP(SUBSTITUTE(CONCATENATE(SUBSTITUTE(SUBSTITUTE(A81,"歳","")," ",""),"_全体")," ",""),[5]データ貼り付けシート!$1:$2,2,FALSE)</f>
        <v>996</v>
      </c>
      <c r="E81" s="44"/>
    </row>
    <row r="82" spans="1:5" x14ac:dyDescent="0.4">
      <c r="A82" s="45" t="s">
        <v>83</v>
      </c>
      <c r="B82" s="46">
        <f>HLOOKUP(SUBSTITUTE(CONCATENATE(SUBSTITUTE(SUBSTITUTE(A82,"歳","")," ",""),"_男")," ",""),[5]データ貼り付けシート!$1:$2,2,FALSE)</f>
        <v>385</v>
      </c>
      <c r="C82" s="46">
        <f>HLOOKUP(SUBSTITUTE(CONCATENATE(SUBSTITUTE(SUBSTITUTE(A82,"歳","")," ",""),"_女")," ",""),[5]データ貼り付けシート!$1:$2,2,FALSE)</f>
        <v>451</v>
      </c>
      <c r="D82" s="46">
        <f>HLOOKUP(SUBSTITUTE(CONCATENATE(SUBSTITUTE(SUBSTITUTE(A82,"歳","")," ",""),"_全体")," ",""),[5]データ貼り付けシート!$1:$2,2,FALSE)</f>
        <v>836</v>
      </c>
      <c r="E82" s="44"/>
    </row>
    <row r="83" spans="1:5" x14ac:dyDescent="0.4">
      <c r="A83" s="45" t="s">
        <v>84</v>
      </c>
      <c r="B83" s="46">
        <f>HLOOKUP(SUBSTITUTE(CONCATENATE(SUBSTITUTE(SUBSTITUTE(A83,"歳","")," ",""),"_男")," ",""),[5]データ貼り付けシート!$1:$2,2,FALSE)</f>
        <v>320</v>
      </c>
      <c r="C83" s="46">
        <f>HLOOKUP(SUBSTITUTE(CONCATENATE(SUBSTITUTE(SUBSTITUTE(A83,"歳","")," ",""),"_女")," ",""),[5]データ貼り付けシート!$1:$2,2,FALSE)</f>
        <v>372</v>
      </c>
      <c r="D83" s="46">
        <f>HLOOKUP(SUBSTITUTE(CONCATENATE(SUBSTITUTE(SUBSTITUTE(A83,"歳","")," ",""),"_全体")," ",""),[5]データ貼り付けシート!$1:$2,2,FALSE)</f>
        <v>692</v>
      </c>
      <c r="E83" s="44"/>
    </row>
    <row r="84" spans="1:5" x14ac:dyDescent="0.4">
      <c r="A84" s="45" t="s">
        <v>85</v>
      </c>
      <c r="B84" s="46">
        <f>HLOOKUP(SUBSTITUTE(CONCATENATE(SUBSTITUTE(SUBSTITUTE(A84,"歳","")," ",""),"_男")," ",""),[5]データ貼り付けシート!$1:$2,2,FALSE)</f>
        <v>316</v>
      </c>
      <c r="C84" s="46">
        <f>HLOOKUP(SUBSTITUTE(CONCATENATE(SUBSTITUTE(SUBSTITUTE(A84,"歳","")," ",""),"_女")," ",""),[5]データ貼り付けシート!$1:$2,2,FALSE)</f>
        <v>386</v>
      </c>
      <c r="D84" s="46">
        <f>HLOOKUP(SUBSTITUTE(CONCATENATE(SUBSTITUTE(SUBSTITUTE(A84,"歳","")," ",""),"_全体")," ",""),[5]データ貼り付けシート!$1:$2,2,FALSE)</f>
        <v>702</v>
      </c>
      <c r="E84" s="44"/>
    </row>
    <row r="85" spans="1:5" x14ac:dyDescent="0.4">
      <c r="A85" s="45" t="s">
        <v>86</v>
      </c>
      <c r="B85" s="46">
        <f>HLOOKUP(SUBSTITUTE(CONCATENATE(SUBSTITUTE(SUBSTITUTE(A85,"歳","")," ",""),"_男")," ",""),[5]データ貼り付けシート!$1:$2,2,FALSE)</f>
        <v>289</v>
      </c>
      <c r="C85" s="46">
        <f>HLOOKUP(SUBSTITUTE(CONCATENATE(SUBSTITUTE(SUBSTITUTE(A85,"歳","")," ",""),"_女")," ",""),[5]データ貼り付けシート!$1:$2,2,FALSE)</f>
        <v>348</v>
      </c>
      <c r="D85" s="46">
        <f>HLOOKUP(SUBSTITUTE(CONCATENATE(SUBSTITUTE(SUBSTITUTE(A85,"歳","")," ",""),"_全体")," ",""),[5]データ貼り付けシート!$1:$2,2,FALSE)</f>
        <v>637</v>
      </c>
      <c r="E85" s="44"/>
    </row>
    <row r="86" spans="1:5" x14ac:dyDescent="0.4">
      <c r="A86" s="45" t="s">
        <v>87</v>
      </c>
      <c r="B86" s="46">
        <f>HLOOKUP(SUBSTITUTE(CONCATENATE(SUBSTITUTE(SUBSTITUTE(A86,"歳","")," ",""),"_男")," ",""),[5]データ貼り付けシート!$1:$2,2,FALSE)</f>
        <v>274</v>
      </c>
      <c r="C86" s="46">
        <f>HLOOKUP(SUBSTITUTE(CONCATENATE(SUBSTITUTE(SUBSTITUTE(A86,"歳","")," ",""),"_女")," ",""),[5]データ貼り付けシート!$1:$2,2,FALSE)</f>
        <v>328</v>
      </c>
      <c r="D86" s="46">
        <f>HLOOKUP(SUBSTITUTE(CONCATENATE(SUBSTITUTE(SUBSTITUTE(A86,"歳","")," ",""),"_全体")," ",""),[5]データ貼り付けシート!$1:$2,2,FALSE)</f>
        <v>602</v>
      </c>
      <c r="E86" s="44"/>
    </row>
    <row r="87" spans="1:5" x14ac:dyDescent="0.4">
      <c r="A87" s="45" t="s">
        <v>88</v>
      </c>
      <c r="B87" s="46">
        <f>HLOOKUP(SUBSTITUTE(CONCATENATE(SUBSTITUTE(SUBSTITUTE(A87,"歳","")," ",""),"_男")," ",""),[5]データ貼り付けシート!$1:$2,2,FALSE)</f>
        <v>196</v>
      </c>
      <c r="C87" s="46">
        <f>HLOOKUP(SUBSTITUTE(CONCATENATE(SUBSTITUTE(SUBSTITUTE(A87,"歳","")," ",""),"_女")," ",""),[5]データ貼り付けシート!$1:$2,2,FALSE)</f>
        <v>260</v>
      </c>
      <c r="D87" s="46">
        <f>HLOOKUP(SUBSTITUTE(CONCATENATE(SUBSTITUTE(SUBSTITUTE(A87,"歳","")," ",""),"_全体")," ",""),[5]データ貼り付けシート!$1:$2,2,FALSE)</f>
        <v>456</v>
      </c>
      <c r="E87" s="44"/>
    </row>
    <row r="88" spans="1:5" x14ac:dyDescent="0.4">
      <c r="A88" s="45" t="s">
        <v>89</v>
      </c>
      <c r="B88" s="46">
        <f>HLOOKUP(SUBSTITUTE(CONCATENATE(SUBSTITUTE(SUBSTITUTE(A88,"歳","")," ",""),"_男")," ",""),[5]データ貼り付けシート!$1:$2,2,FALSE)</f>
        <v>146</v>
      </c>
      <c r="C88" s="46">
        <f>HLOOKUP(SUBSTITUTE(CONCATENATE(SUBSTITUTE(SUBSTITUTE(A88,"歳","")," ",""),"_女")," ",""),[5]データ貼り付けシート!$1:$2,2,FALSE)</f>
        <v>283</v>
      </c>
      <c r="D88" s="46">
        <f>HLOOKUP(SUBSTITUTE(CONCATENATE(SUBSTITUTE(SUBSTITUTE(A88,"歳","")," ",""),"_全体")," ",""),[5]データ貼り付けシート!$1:$2,2,FALSE)</f>
        <v>429</v>
      </c>
      <c r="E88" s="44"/>
    </row>
    <row r="89" spans="1:5" x14ac:dyDescent="0.4">
      <c r="A89" s="45" t="s">
        <v>90</v>
      </c>
      <c r="B89" s="46">
        <f>HLOOKUP(SUBSTITUTE(CONCATENATE(SUBSTITUTE(SUBSTITUTE(A89,"歳","")," ",""),"_男")," ",""),[5]データ貼り付けシート!$1:$2,2,FALSE)</f>
        <v>133</v>
      </c>
      <c r="C89" s="46">
        <f>HLOOKUP(SUBSTITUTE(CONCATENATE(SUBSTITUTE(SUBSTITUTE(A89,"歳","")," ",""),"_女")," ",""),[5]データ貼り付けシート!$1:$2,2,FALSE)</f>
        <v>236</v>
      </c>
      <c r="D89" s="46">
        <f>HLOOKUP(SUBSTITUTE(CONCATENATE(SUBSTITUTE(SUBSTITUTE(A89,"歳","")," ",""),"_全体")," ",""),[5]データ貼り付けシート!$1:$2,2,FALSE)</f>
        <v>369</v>
      </c>
      <c r="E89" s="44"/>
    </row>
    <row r="90" spans="1:5" x14ac:dyDescent="0.4">
      <c r="A90" s="45" t="s">
        <v>91</v>
      </c>
      <c r="B90" s="46">
        <f>HLOOKUP(SUBSTITUTE(CONCATENATE(SUBSTITUTE(SUBSTITUTE(A90,"歳","")," ",""),"_男")," ",""),[5]データ貼り付けシート!$1:$2,2,FALSE)</f>
        <v>122</v>
      </c>
      <c r="C90" s="46">
        <f>HLOOKUP(SUBSTITUTE(CONCATENATE(SUBSTITUTE(SUBSTITUTE(A90,"歳","")," ",""),"_女")," ",""),[5]データ貼り付けシート!$1:$2,2,FALSE)</f>
        <v>196</v>
      </c>
      <c r="D90" s="46">
        <f>HLOOKUP(SUBSTITUTE(CONCATENATE(SUBSTITUTE(SUBSTITUTE(A90,"歳","")," ",""),"_全体")," ",""),[5]データ貼り付けシート!$1:$2,2,FALSE)</f>
        <v>318</v>
      </c>
      <c r="E90" s="44"/>
    </row>
    <row r="91" spans="1:5" x14ac:dyDescent="0.4">
      <c r="A91" s="45" t="s">
        <v>92</v>
      </c>
      <c r="B91" s="46">
        <f>HLOOKUP(SUBSTITUTE(CONCATENATE(SUBSTITUTE(SUBSTITUTE(A91,"歳","")," ",""),"_男")," ",""),[5]データ貼り付けシート!$1:$2,2,FALSE)</f>
        <v>95</v>
      </c>
      <c r="C91" s="46">
        <f>HLOOKUP(SUBSTITUTE(CONCATENATE(SUBSTITUTE(SUBSTITUTE(A91,"歳","")," ",""),"_女")," ",""),[5]データ貼り付けシート!$1:$2,2,FALSE)</f>
        <v>151</v>
      </c>
      <c r="D91" s="46">
        <f>HLOOKUP(SUBSTITUTE(CONCATENATE(SUBSTITUTE(SUBSTITUTE(A91,"歳","")," ",""),"_全体")," ",""),[5]データ貼り付けシート!$1:$2,2,FALSE)</f>
        <v>246</v>
      </c>
      <c r="E91" s="44"/>
    </row>
    <row r="92" spans="1:5" x14ac:dyDescent="0.4">
      <c r="A92" s="45" t="s">
        <v>93</v>
      </c>
      <c r="B92" s="46">
        <f>HLOOKUP(SUBSTITUTE(CONCATENATE(SUBSTITUTE(SUBSTITUTE(A92,"歳","")," ",""),"_男")," ",""),[5]データ貼り付けシート!$1:$2,2,FALSE)</f>
        <v>54</v>
      </c>
      <c r="C92" s="46">
        <f>HLOOKUP(SUBSTITUTE(CONCATENATE(SUBSTITUTE(SUBSTITUTE(A92,"歳","")," ",""),"_女")," ",""),[5]データ貼り付けシート!$1:$2,2,FALSE)</f>
        <v>159</v>
      </c>
      <c r="D92" s="46">
        <f>HLOOKUP(SUBSTITUTE(CONCATENATE(SUBSTITUTE(SUBSTITUTE(A92,"歳","")," ",""),"_全体")," ",""),[5]データ貼り付けシート!$1:$2,2,FALSE)</f>
        <v>213</v>
      </c>
      <c r="E92" s="44"/>
    </row>
    <row r="93" spans="1:5" x14ac:dyDescent="0.4">
      <c r="A93" s="45" t="s">
        <v>94</v>
      </c>
      <c r="B93" s="46">
        <f>HLOOKUP(SUBSTITUTE(CONCATENATE(SUBSTITUTE(SUBSTITUTE(A93,"歳","")," ",""),"_男")," ",""),[5]データ貼り付けシート!$1:$2,2,FALSE)</f>
        <v>61</v>
      </c>
      <c r="C93" s="46">
        <f>HLOOKUP(SUBSTITUTE(CONCATENATE(SUBSTITUTE(SUBSTITUTE(A93,"歳","")," ",""),"_女")," ",""),[5]データ貼り付けシート!$1:$2,2,FALSE)</f>
        <v>140</v>
      </c>
      <c r="D93" s="46">
        <f>HLOOKUP(SUBSTITUTE(CONCATENATE(SUBSTITUTE(SUBSTITUTE(A93,"歳","")," ",""),"_全体")," ",""),[5]データ貼り付けシート!$1:$2,2,FALSE)</f>
        <v>201</v>
      </c>
      <c r="E93" s="44"/>
    </row>
    <row r="94" spans="1:5" x14ac:dyDescent="0.4">
      <c r="A94" s="45" t="s">
        <v>95</v>
      </c>
      <c r="B94" s="46">
        <f>HLOOKUP(SUBSTITUTE(CONCATENATE(SUBSTITUTE(SUBSTITUTE(A94,"歳","")," ",""),"_男")," ",""),[5]データ貼り付けシート!$1:$2,2,FALSE)</f>
        <v>42</v>
      </c>
      <c r="C94" s="46">
        <f>HLOOKUP(SUBSTITUTE(CONCATENATE(SUBSTITUTE(SUBSTITUTE(A94,"歳","")," ",""),"_女")," ",""),[5]データ貼り付けシート!$1:$2,2,FALSE)</f>
        <v>96</v>
      </c>
      <c r="D94" s="46">
        <f>HLOOKUP(SUBSTITUTE(CONCATENATE(SUBSTITUTE(SUBSTITUTE(A94,"歳","")," ",""),"_全体")," ",""),[5]データ貼り付けシート!$1:$2,2,FALSE)</f>
        <v>138</v>
      </c>
      <c r="E94" s="44"/>
    </row>
    <row r="95" spans="1:5" x14ac:dyDescent="0.4">
      <c r="A95" s="45" t="s">
        <v>96</v>
      </c>
      <c r="B95" s="46">
        <f>HLOOKUP(SUBSTITUTE(CONCATENATE(SUBSTITUTE(SUBSTITUTE(A95,"歳","")," ",""),"_男")," ",""),[5]データ貼り付けシート!$1:$2,2,FALSE)</f>
        <v>33</v>
      </c>
      <c r="C95" s="46">
        <f>HLOOKUP(SUBSTITUTE(CONCATENATE(SUBSTITUTE(SUBSTITUTE(A95,"歳","")," ",""),"_女")," ",""),[5]データ貼り付けシート!$1:$2,2,FALSE)</f>
        <v>104</v>
      </c>
      <c r="D95" s="46">
        <f>HLOOKUP(SUBSTITUTE(CONCATENATE(SUBSTITUTE(SUBSTITUTE(A95,"歳","")," ",""),"_全体")," ",""),[5]データ貼り付けシート!$1:$2,2,FALSE)</f>
        <v>137</v>
      </c>
      <c r="E95" s="44"/>
    </row>
    <row r="96" spans="1:5" x14ac:dyDescent="0.4">
      <c r="A96" s="45" t="s">
        <v>97</v>
      </c>
      <c r="B96" s="46">
        <f>HLOOKUP(SUBSTITUTE(CONCATENATE(SUBSTITUTE(SUBSTITUTE(A96,"歳","")," ",""),"_男")," ",""),[5]データ貼り付けシート!$1:$2,2,FALSE)</f>
        <v>20</v>
      </c>
      <c r="C96" s="46">
        <f>HLOOKUP(SUBSTITUTE(CONCATENATE(SUBSTITUTE(SUBSTITUTE(A96,"歳","")," ",""),"_女")," ",""),[5]データ貼り付けシート!$1:$2,2,FALSE)</f>
        <v>74</v>
      </c>
      <c r="D96" s="46">
        <f>HLOOKUP(SUBSTITUTE(CONCATENATE(SUBSTITUTE(SUBSTITUTE(A96,"歳","")," ",""),"_全体")," ",""),[5]データ貼り付けシート!$1:$2,2,FALSE)</f>
        <v>94</v>
      </c>
      <c r="E96" s="44"/>
    </row>
    <row r="97" spans="1:5" x14ac:dyDescent="0.4">
      <c r="A97" s="45" t="s">
        <v>98</v>
      </c>
      <c r="B97" s="46">
        <f>HLOOKUP(SUBSTITUTE(CONCATENATE(SUBSTITUTE(SUBSTITUTE(A97,"歳","")," ",""),"_男")," ",""),[5]データ貼り付けシート!$1:$2,2,FALSE)</f>
        <v>15</v>
      </c>
      <c r="C97" s="46">
        <f>HLOOKUP(SUBSTITUTE(CONCATENATE(SUBSTITUTE(SUBSTITUTE(A97,"歳","")," ",""),"_女")," ",""),[5]データ貼り付けシート!$1:$2,2,FALSE)</f>
        <v>60</v>
      </c>
      <c r="D97" s="46">
        <f>HLOOKUP(SUBSTITUTE(CONCATENATE(SUBSTITUTE(SUBSTITUTE(A97,"歳","")," ",""),"_全体")," ",""),[5]データ貼り付けシート!$1:$2,2,FALSE)</f>
        <v>75</v>
      </c>
      <c r="E97" s="44"/>
    </row>
    <row r="98" spans="1:5" x14ac:dyDescent="0.4">
      <c r="A98" s="45" t="s">
        <v>99</v>
      </c>
      <c r="B98" s="46">
        <f>HLOOKUP(SUBSTITUTE(CONCATENATE(SUBSTITUTE(SUBSTITUTE(A98,"歳","")," ",""),"_男")," ",""),[5]データ貼り付けシート!$1:$2,2,FALSE)</f>
        <v>8</v>
      </c>
      <c r="C98" s="46">
        <f>HLOOKUP(SUBSTITUTE(CONCATENATE(SUBSTITUTE(SUBSTITUTE(A98,"歳","")," ",""),"_女")," ",""),[5]データ貼り付けシート!$1:$2,2,FALSE)</f>
        <v>56</v>
      </c>
      <c r="D98" s="46">
        <f>HLOOKUP(SUBSTITUTE(CONCATENATE(SUBSTITUTE(SUBSTITUTE(A98,"歳","")," ",""),"_全体")," ",""),[5]データ貼り付けシート!$1:$2,2,FALSE)</f>
        <v>64</v>
      </c>
      <c r="E98" s="44"/>
    </row>
    <row r="99" spans="1:5" x14ac:dyDescent="0.4">
      <c r="A99" s="45" t="s">
        <v>100</v>
      </c>
      <c r="B99" s="46">
        <f>HLOOKUP(SUBSTITUTE(CONCATENATE(SUBSTITUTE(SUBSTITUTE(A99,"歳","")," ",""),"_男")," ",""),[5]データ貼り付けシート!$1:$2,2,FALSE)</f>
        <v>9</v>
      </c>
      <c r="C99" s="46">
        <f>HLOOKUP(SUBSTITUTE(CONCATENATE(SUBSTITUTE(SUBSTITUTE(A99,"歳","")," ",""),"_女")," ",""),[5]データ貼り付けシート!$1:$2,2,FALSE)</f>
        <v>29</v>
      </c>
      <c r="D99" s="46">
        <f>HLOOKUP(SUBSTITUTE(CONCATENATE(SUBSTITUTE(SUBSTITUTE(A99,"歳","")," ",""),"_全体")," ",""),[5]データ貼り付けシート!$1:$2,2,FALSE)</f>
        <v>38</v>
      </c>
      <c r="E99" s="44"/>
    </row>
    <row r="100" spans="1:5" x14ac:dyDescent="0.4">
      <c r="A100" s="45" t="s">
        <v>101</v>
      </c>
      <c r="B100" s="46">
        <f>HLOOKUP(SUBSTITUTE(CONCATENATE(SUBSTITUTE(SUBSTITUTE(A100,"歳","")," ",""),"_男")," ",""),[5]データ貼り付けシート!$1:$2,2,FALSE)</f>
        <v>7</v>
      </c>
      <c r="C100" s="46">
        <f>HLOOKUP(SUBSTITUTE(CONCATENATE(SUBSTITUTE(SUBSTITUTE(A100,"歳","")," ",""),"_女")," ",""),[5]データ貼り付けシート!$1:$2,2,FALSE)</f>
        <v>32</v>
      </c>
      <c r="D100" s="46">
        <f>HLOOKUP(SUBSTITUTE(CONCATENATE(SUBSTITUTE(SUBSTITUTE(A100,"歳","")," ",""),"_全体")," ",""),[5]データ貼り付けシート!$1:$2,2,FALSE)</f>
        <v>39</v>
      </c>
      <c r="E100" s="44"/>
    </row>
    <row r="101" spans="1:5" x14ac:dyDescent="0.4">
      <c r="A101" s="45" t="s">
        <v>102</v>
      </c>
      <c r="B101" s="46">
        <f>HLOOKUP(SUBSTITUTE(CONCATENATE(SUBSTITUTE(SUBSTITUTE(A101,"歳","")," ",""),"_男")," ",""),[5]データ貼り付けシート!$1:$2,2,FALSE)</f>
        <v>4</v>
      </c>
      <c r="C101" s="46">
        <f>HLOOKUP(SUBSTITUTE(CONCATENATE(SUBSTITUTE(SUBSTITUTE(A101,"歳","")," ",""),"_女")," ",""),[5]データ貼り付けシート!$1:$2,2,FALSE)</f>
        <v>21</v>
      </c>
      <c r="D101" s="46">
        <f>HLOOKUP(SUBSTITUTE(CONCATENATE(SUBSTITUTE(SUBSTITUTE(A101,"歳","")," ",""),"_全体")," ",""),[5]データ貼り付けシート!$1:$2,2,FALSE)</f>
        <v>25</v>
      </c>
      <c r="E101" s="44"/>
    </row>
    <row r="102" spans="1:5" x14ac:dyDescent="0.4">
      <c r="A102" s="45" t="s">
        <v>103</v>
      </c>
      <c r="B102" s="46">
        <f>HLOOKUP(SUBSTITUTE(CONCATENATE(SUBSTITUTE(SUBSTITUTE(A102,"歳","")," ",""),"_男")," ",""),[5]データ貼り付けシート!$1:$2,2,FALSE)</f>
        <v>1</v>
      </c>
      <c r="C102" s="46">
        <f>HLOOKUP(SUBSTITUTE(CONCATENATE(SUBSTITUTE(SUBSTITUTE(A102,"歳","")," ",""),"_女")," ",""),[5]データ貼り付けシート!$1:$2,2,FALSE)</f>
        <v>18</v>
      </c>
      <c r="D102" s="46">
        <f>HLOOKUP(SUBSTITUTE(CONCATENATE(SUBSTITUTE(SUBSTITUTE(A102,"歳","")," ",""),"_全体")," ",""),[5]データ貼り付けシート!$1:$2,2,FALSE)</f>
        <v>19</v>
      </c>
      <c r="E102" s="44"/>
    </row>
    <row r="103" spans="1:5" x14ac:dyDescent="0.4">
      <c r="A103" s="45" t="s">
        <v>104</v>
      </c>
      <c r="B103" s="46">
        <f>HLOOKUP(SUBSTITUTE(CONCATENATE(SUBSTITUTE(SUBSTITUTE(A103,"歳","")," ",""),"_男")," ",""),[5]データ貼り付けシート!$1:$2,2,FALSE)</f>
        <v>1</v>
      </c>
      <c r="C103" s="46">
        <f>HLOOKUP(SUBSTITUTE(CONCATENATE(SUBSTITUTE(SUBSTITUTE(A103,"歳","")," ",""),"_女")," ",""),[5]データ貼り付けシート!$1:$2,2,FALSE)</f>
        <v>5</v>
      </c>
      <c r="D103" s="46">
        <f>HLOOKUP(SUBSTITUTE(CONCATENATE(SUBSTITUTE(SUBSTITUTE(A103,"歳","")," ",""),"_全体")," ",""),[5]データ貼り付けシート!$1:$2,2,FALSE)</f>
        <v>6</v>
      </c>
      <c r="E103" s="44"/>
    </row>
    <row r="104" spans="1:5" x14ac:dyDescent="0.4">
      <c r="A104" s="45" t="s">
        <v>105</v>
      </c>
      <c r="B104" s="46">
        <f>HLOOKUP(SUBSTITUTE(CONCATENATE(SUBSTITUTE(SUBSTITUTE(A104,"歳","")," ",""),"_男")," ",""),[5]データ貼り付けシート!$1:$2,2,FALSE)</f>
        <v>0</v>
      </c>
      <c r="C104" s="46">
        <f>HLOOKUP(SUBSTITUTE(CONCATENATE(SUBSTITUTE(SUBSTITUTE(A104,"歳","")," ",""),"_女")," ",""),[5]データ貼り付けシート!$1:$2,2,FALSE)</f>
        <v>3</v>
      </c>
      <c r="D104" s="46">
        <f>HLOOKUP(SUBSTITUTE(CONCATENATE(SUBSTITUTE(SUBSTITUTE(A104,"歳","")," ",""),"_全体")," ",""),[5]データ貼り付けシート!$1:$2,2,FALSE)</f>
        <v>3</v>
      </c>
      <c r="E104" s="44"/>
    </row>
    <row r="105" spans="1:5" x14ac:dyDescent="0.4">
      <c r="A105" s="45" t="s">
        <v>106</v>
      </c>
      <c r="B105" s="46">
        <f>HLOOKUP(SUBSTITUTE(CONCATENATE(SUBSTITUTE(SUBSTITUTE(A105,"歳","")," ",""),"_男")," ",""),[5]データ貼り付けシート!$1:$2,2,FALSE)</f>
        <v>1</v>
      </c>
      <c r="C105" s="46">
        <f>HLOOKUP(SUBSTITUTE(CONCATENATE(SUBSTITUTE(SUBSTITUTE(A105,"歳","")," ",""),"_女")," ",""),[5]データ貼り付けシート!$1:$2,2,FALSE)</f>
        <v>2</v>
      </c>
      <c r="D105" s="46">
        <f>HLOOKUP(SUBSTITUTE(CONCATENATE(SUBSTITUTE(SUBSTITUTE(A105,"歳","")," ",""),"_全体")," ",""),[5]データ貼り付けシート!$1:$2,2,FALSE)</f>
        <v>3</v>
      </c>
      <c r="E105" s="44"/>
    </row>
    <row r="106" spans="1:5" x14ac:dyDescent="0.4">
      <c r="A106" s="45" t="s">
        <v>107</v>
      </c>
      <c r="B106" s="46">
        <f>HLOOKUP(SUBSTITUTE(CONCATENATE(SUBSTITUTE(SUBSTITUTE(A106,"歳","")," ",""),"_男")," ",""),[5]データ貼り付けシート!$1:$2,2,FALSE)</f>
        <v>1</v>
      </c>
      <c r="C106" s="46">
        <f>HLOOKUP(SUBSTITUTE(CONCATENATE(SUBSTITUTE(SUBSTITUTE(A106,"歳","")," ",""),"_女")," ",""),[5]データ貼り付けシート!$1:$2,2,FALSE)</f>
        <v>4</v>
      </c>
      <c r="D106" s="46">
        <f>HLOOKUP(SUBSTITUTE(CONCATENATE(SUBSTITUTE(SUBSTITUTE(A106,"歳","")," ",""),"_全体")," ",""),[5]データ貼り付けシート!$1:$2,2,FALSE)</f>
        <v>5</v>
      </c>
      <c r="E106" s="44"/>
    </row>
    <row r="107" spans="1:5" x14ac:dyDescent="0.4">
      <c r="A107" s="45" t="s">
        <v>108</v>
      </c>
      <c r="B107" s="46">
        <f>HLOOKUP(SUBSTITUTE(CONCATENATE(SUBSTITUTE(SUBSTITUTE(A107,"歳","")," ",""),"_男")," ",""),[5]データ貼り付けシート!$1:$2,2,FALSE)</f>
        <v>0</v>
      </c>
      <c r="C107" s="46">
        <f>HLOOKUP(SUBSTITUTE(CONCATENATE(SUBSTITUTE(SUBSTITUTE(A107,"歳","")," ",""),"_女")," ",""),[5]データ貼り付けシート!$1:$2,2,FALSE)</f>
        <v>3</v>
      </c>
      <c r="D107" s="46">
        <f>HLOOKUP(SUBSTITUTE(CONCATENATE(SUBSTITUTE(SUBSTITUTE(A107,"歳","")," ",""),"_全体")," ",""),[5]データ貼り付けシート!$1:$2,2,FALSE)</f>
        <v>3</v>
      </c>
      <c r="E107" s="44"/>
    </row>
    <row r="108" spans="1:5" x14ac:dyDescent="0.4">
      <c r="A108" s="45" t="s">
        <v>109</v>
      </c>
      <c r="B108" s="46">
        <f>IF(ISERROR(HLOOKUP("105以上_男",[5]データ貼り付けシート!$1:$2,2,FALSE)),0,HLOOKUP("105以上_男",[5]データ貼り付けシート!$1:$2,2,FALSE))+IF(ISERROR(HLOOKUP("105_男",[5]データ貼り付けシート!$1:$2,2,FALSE)),0,HLOOKUP("105_男",[5]データ貼り付けシート!$1:$2,2,FALSE))</f>
        <v>0</v>
      </c>
      <c r="C108" s="46">
        <f>IF(ISERROR(HLOOKUP("105以上_女",[5]データ貼り付けシート!$1:$2,2,FALSE)),0,HLOOKUP("105以上_女",[5]データ貼り付けシート!$1:$2,2,FALSE))+IF(ISERROR(HLOOKUP("105_女",[5]データ貼り付けシート!$1:$2,2,FALSE)),0,HLOOKUP("105_女",[5]データ貼り付けシート!$1:$2,2,FALSE))</f>
        <v>0</v>
      </c>
      <c r="D108" s="46">
        <f>B108+C108</f>
        <v>0</v>
      </c>
      <c r="E108" s="44"/>
    </row>
    <row r="109" spans="1:5" x14ac:dyDescent="0.4">
      <c r="A109" s="45" t="s">
        <v>110</v>
      </c>
      <c r="B109" s="46">
        <f>IF(ISERROR(HLOOKUP("106以上_男",[5]データ貼り付けシート!$1:$2,2,FALSE)),0,HLOOKUP("106以上_男",[5]データ貼り付けシート!$1:$2,2,FALSE))+IF(ISERROR(HLOOKUP("106_男",[5]データ貼り付けシート!$1:$2,2,FALSE)),0,HLOOKUP("106_男",[5]データ貼り付けシート!$1:$2,2,FALSE))</f>
        <v>0</v>
      </c>
      <c r="C109" s="46">
        <f>IF(ISERROR(HLOOKUP("106以上_女",[5]データ貼り付けシート!$1:$2,2,FALSE)),0,HLOOKUP("106以上_女",[5]データ貼り付けシート!$1:$2,2,FALSE))+IF(ISERROR(HLOOKUP("106_女",[5]データ貼り付けシート!$1:$2,2,FALSE)),0,HLOOKUP("106_女",[5]データ貼り付けシート!$1:$2,2,FALSE))</f>
        <v>1</v>
      </c>
      <c r="D109" s="46">
        <f>B109+C109</f>
        <v>1</v>
      </c>
      <c r="E109" s="44"/>
    </row>
    <row r="110" spans="1:5" x14ac:dyDescent="0.4">
      <c r="A110" s="45" t="s">
        <v>111</v>
      </c>
      <c r="B110" s="46">
        <f>IF(ISERROR(HLOOKUP("107以上_男",[5]データ貼り付けシート!$1:$2,2,FALSE)),0,HLOOKUP("107以上_男",[5]データ貼り付けシート!$1:$2,2,FALSE))+IF(ISERROR(HLOOKUP("107_男",[5]データ貼り付けシート!$1:$2,2,FALSE)),0,HLOOKUP("107_男",[5]データ貼り付けシート!$1:$2,2,FALSE))</f>
        <v>0</v>
      </c>
      <c r="C110" s="46">
        <f>IF(ISERROR(HLOOKUP("107以上_女",[5]データ貼り付けシート!$1:$2,2,FALSE)),0,HLOOKUP("107以上_女",[5]データ貼り付けシート!$1:$2,2,FALSE))+IF(ISERROR(HLOOKUP("107_女",[5]データ貼り付けシート!$1:$2,2,FALSE)),0,HLOOKUP("107_女",[5]データ貼り付けシート!$1:$2,2,FALSE))</f>
        <v>0</v>
      </c>
      <c r="D110" s="46">
        <f>B110+C110</f>
        <v>0</v>
      </c>
      <c r="E110" s="44"/>
    </row>
    <row r="111" spans="1:5" x14ac:dyDescent="0.4">
      <c r="A111" s="45" t="s">
        <v>112</v>
      </c>
      <c r="B111" s="46">
        <f>IF(ISERROR(HLOOKUP("108以上_男",[5]データ貼り付けシート!$1:$2,2,FALSE)),0,HLOOKUP("108以上_男",[5]データ貼り付けシート!$1:$2,2,FALSE))+IF(ISERROR(HLOOKUP("108_男",[5]データ貼り付けシート!$1:$2,2,FALSE)),0,HLOOKUP("108_男",[5]データ貼り付けシート!$1:$2,2,FALSE))</f>
        <v>0</v>
      </c>
      <c r="C111" s="46">
        <f>IF(ISERROR(HLOOKUP("108以上_女",[5]データ貼り付けシート!$1:$2,2,FALSE)),0,HLOOKUP("108以上_女",[5]データ貼り付けシート!$1:$2,2,FALSE))+IF(ISERROR(HLOOKUP("108_女",[5]データ貼り付けシート!$1:$2,2,FALSE)),0,HLOOKUP("108_女",[5]データ貼り付けシート!$1:$2,2,FALSE))</f>
        <v>0</v>
      </c>
      <c r="D111" s="46">
        <f t="shared" ref="D111:D113" si="0">B111+C111</f>
        <v>0</v>
      </c>
      <c r="E111" s="44"/>
    </row>
    <row r="112" spans="1:5" x14ac:dyDescent="0.4">
      <c r="A112" s="45" t="s">
        <v>131</v>
      </c>
      <c r="B112" s="46">
        <f>IF(ISERROR(HLOOKUP("109以上_男",[5]データ貼り付けシート!$1:$2,2,FALSE)),0,HLOOKUP("109以上_男",[5]データ貼り付けシート!$1:$2,2,FALSE))+IF(ISERROR(HLOOKUP("109_男",[5]データ貼り付けシート!$1:$2,2,FALSE)),0,HLOOKUP("109_男",[5]データ貼り付けシート!$1:$2,2,FALSE))</f>
        <v>0</v>
      </c>
      <c r="C112" s="46">
        <f>IF(ISERROR(HLOOKUP("109以上_女",[5]データ貼り付けシート!$1:$2,2,FALSE)),0,HLOOKUP("109以上_女",[5]データ貼り付けシート!$1:$2,2,FALSE))+IF(ISERROR(HLOOKUP("109_女",[5]データ貼り付けシート!$1:$2,2,FALSE)),0,HLOOKUP("109_女",[5]データ貼り付けシート!$1:$2,2,FALSE))</f>
        <v>0</v>
      </c>
      <c r="D112" s="46">
        <f t="shared" si="0"/>
        <v>0</v>
      </c>
      <c r="E112" s="44"/>
    </row>
    <row r="113" spans="1:5" x14ac:dyDescent="0.4">
      <c r="A113" s="45" t="s">
        <v>114</v>
      </c>
      <c r="B113" s="46">
        <f>IF(ISERROR(HLOOKUP("110以上_男",[5]データ貼り付けシート!$1:$2,2,FALSE)),0,HLOOKUP("110以上_男",[5]データ貼り付けシート!$1:$2,2,FALSE))+IF(ISERROR(HLOOKUP("110_男",[5]データ貼り付けシート!$1:$2,2,FALSE)),0,HLOOKUP("110_男",[5]データ貼り付けシート!$1:$2,2,FALSE))</f>
        <v>0</v>
      </c>
      <c r="C113" s="46">
        <f>IF(ISERROR(HLOOKUP("110以上_女",[5]データ貼り付けシート!$1:$2,2,FALSE)),0,HLOOKUP("107以上_女",[5]データ貼り付けシート!$1:$2,2,FALSE))+IF(ISERROR(HLOOKUP("110_女",[5]データ貼り付けシート!$1:$2,2,FALSE)),0,HLOOKUP("110_女",[5]データ貼り付けシート!$1:$2,2,FALSE))</f>
        <v>0</v>
      </c>
      <c r="D113" s="46">
        <f t="shared" si="0"/>
        <v>0</v>
      </c>
      <c r="E113" s="44"/>
    </row>
    <row r="114" spans="1:5" x14ac:dyDescent="0.4">
      <c r="A114" s="44"/>
      <c r="B114" s="47"/>
      <c r="C114" s="47"/>
      <c r="D114" s="47"/>
      <c r="E114" s="44"/>
    </row>
    <row r="115" spans="1:5" x14ac:dyDescent="0.4">
      <c r="A115" s="48" t="s">
        <v>0</v>
      </c>
      <c r="B115" s="48" t="s">
        <v>1</v>
      </c>
      <c r="C115" s="49" t="s">
        <v>2</v>
      </c>
      <c r="D115" s="43" t="s">
        <v>3</v>
      </c>
      <c r="E115" s="44"/>
    </row>
    <row r="116" spans="1:5" x14ac:dyDescent="0.4">
      <c r="A116" s="48" t="s">
        <v>115</v>
      </c>
      <c r="B116" s="50">
        <f>SUM(B3:B8)</f>
        <v>2365</v>
      </c>
      <c r="C116" s="51">
        <f>SUM(C3:C8)</f>
        <v>2249</v>
      </c>
      <c r="D116" s="46">
        <f>B116+C116</f>
        <v>4614</v>
      </c>
      <c r="E116" s="44"/>
    </row>
    <row r="117" spans="1:5" x14ac:dyDescent="0.4">
      <c r="A117" s="48" t="s">
        <v>116</v>
      </c>
      <c r="B117" s="50">
        <f>SUM(B9:B14)</f>
        <v>2201</v>
      </c>
      <c r="C117" s="50">
        <f>SUM(C9:C14)</f>
        <v>2151</v>
      </c>
      <c r="D117" s="46">
        <f>B117+C117</f>
        <v>4352</v>
      </c>
      <c r="E117" s="44"/>
    </row>
    <row r="118" spans="1:5" x14ac:dyDescent="0.4">
      <c r="A118" s="48" t="s">
        <v>117</v>
      </c>
      <c r="B118" s="50">
        <f>SUM(B15:B17)</f>
        <v>1172</v>
      </c>
      <c r="C118" s="50">
        <f>SUM(C15:C17)</f>
        <v>1058</v>
      </c>
      <c r="D118" s="46">
        <f>B118+C118</f>
        <v>2230</v>
      </c>
      <c r="E118" s="44"/>
    </row>
    <row r="119" spans="1:5" x14ac:dyDescent="0.4">
      <c r="A119" s="48" t="s">
        <v>145</v>
      </c>
      <c r="B119" s="50">
        <f>SUM(B116:B118)</f>
        <v>5738</v>
      </c>
      <c r="C119" s="50">
        <f>SUM(C116:C118)</f>
        <v>5458</v>
      </c>
      <c r="D119" s="50">
        <f>SUM(D116:D118)</f>
        <v>11196</v>
      </c>
      <c r="E119" s="52">
        <f>D119/D135</f>
        <v>0.12969441419734495</v>
      </c>
    </row>
    <row r="120" spans="1:5" x14ac:dyDescent="0.4">
      <c r="A120" s="44"/>
      <c r="B120" s="44"/>
      <c r="C120" s="44"/>
      <c r="D120" s="44"/>
      <c r="E120" s="44"/>
    </row>
    <row r="121" spans="1:5" x14ac:dyDescent="0.4">
      <c r="A121" s="43" t="s">
        <v>0</v>
      </c>
      <c r="B121" s="43" t="s">
        <v>1</v>
      </c>
      <c r="C121" s="43" t="s">
        <v>2</v>
      </c>
      <c r="D121" s="43" t="s">
        <v>3</v>
      </c>
      <c r="E121" s="44"/>
    </row>
    <row r="122" spans="1:5" x14ac:dyDescent="0.4">
      <c r="A122" s="43" t="s">
        <v>119</v>
      </c>
      <c r="B122" s="46">
        <f>SUM(B18:B20)</f>
        <v>1193</v>
      </c>
      <c r="C122" s="46">
        <f>SUM(C18:C20)</f>
        <v>1165</v>
      </c>
      <c r="D122" s="46">
        <f t="shared" ref="D122:D126" si="1">B122+C122</f>
        <v>2358</v>
      </c>
      <c r="E122" s="44"/>
    </row>
    <row r="123" spans="1:5" x14ac:dyDescent="0.4">
      <c r="A123" s="43" t="s">
        <v>120</v>
      </c>
      <c r="B123" s="46">
        <f>SUM(B21:B32)</f>
        <v>5871</v>
      </c>
      <c r="C123" s="46">
        <f>SUM(C21:C32)</f>
        <v>5476</v>
      </c>
      <c r="D123" s="46">
        <f t="shared" si="1"/>
        <v>11347</v>
      </c>
      <c r="E123" s="44"/>
    </row>
    <row r="124" spans="1:5" x14ac:dyDescent="0.4">
      <c r="A124" s="43" t="s">
        <v>121</v>
      </c>
      <c r="B124" s="46">
        <f>SUM(B33:B42)</f>
        <v>5631</v>
      </c>
      <c r="C124" s="46">
        <f>SUM(C33:C42)</f>
        <v>5347</v>
      </c>
      <c r="D124" s="46">
        <f t="shared" si="1"/>
        <v>10978</v>
      </c>
      <c r="E124" s="44"/>
    </row>
    <row r="125" spans="1:5" x14ac:dyDescent="0.4">
      <c r="A125" s="43" t="s">
        <v>122</v>
      </c>
      <c r="B125" s="46">
        <f>SUM(B43:B52)</f>
        <v>7342</v>
      </c>
      <c r="C125" s="46">
        <f>SUM(C43:C52)</f>
        <v>6725</v>
      </c>
      <c r="D125" s="46">
        <f t="shared" si="1"/>
        <v>14067</v>
      </c>
      <c r="E125" s="44"/>
    </row>
    <row r="126" spans="1:5" x14ac:dyDescent="0.4">
      <c r="A126" s="53" t="s">
        <v>123</v>
      </c>
      <c r="B126" s="46">
        <f>SUM(B53:B67)</f>
        <v>7439</v>
      </c>
      <c r="C126" s="46">
        <f>SUM(C53:C67)</f>
        <v>6926</v>
      </c>
      <c r="D126" s="46">
        <f t="shared" si="1"/>
        <v>14365</v>
      </c>
      <c r="E126" s="44"/>
    </row>
    <row r="127" spans="1:5" ht="24" x14ac:dyDescent="0.4">
      <c r="A127" s="48" t="s">
        <v>146</v>
      </c>
      <c r="B127" s="51">
        <f>SUM(B122:B126)</f>
        <v>27476</v>
      </c>
      <c r="C127" s="51">
        <f>SUM(C122:C126)</f>
        <v>25639</v>
      </c>
      <c r="D127" s="51">
        <f>SUM(D122:D126)</f>
        <v>53115</v>
      </c>
      <c r="E127" s="52">
        <f>D127/D135</f>
        <v>0.61528392373097329</v>
      </c>
    </row>
    <row r="128" spans="1:5" x14ac:dyDescent="0.4">
      <c r="A128" s="44"/>
      <c r="B128" s="44"/>
      <c r="C128" s="44"/>
      <c r="D128" s="44"/>
      <c r="E128" s="44"/>
    </row>
    <row r="129" spans="1:5" x14ac:dyDescent="0.4">
      <c r="A129" s="43" t="s">
        <v>0</v>
      </c>
      <c r="B129" s="43" t="s">
        <v>1</v>
      </c>
      <c r="C129" s="43" t="s">
        <v>2</v>
      </c>
      <c r="D129" s="43" t="s">
        <v>3</v>
      </c>
      <c r="E129" s="44"/>
    </row>
    <row r="130" spans="1:5" x14ac:dyDescent="0.4">
      <c r="A130" s="43" t="s">
        <v>125</v>
      </c>
      <c r="B130" s="46">
        <f>SUM(B68:B72)</f>
        <v>2551</v>
      </c>
      <c r="C130" s="46">
        <f>SUM(C68:C72)</f>
        <v>2827</v>
      </c>
      <c r="D130" s="46">
        <f t="shared" ref="D130:D131" si="2">B130+C130</f>
        <v>5378</v>
      </c>
      <c r="E130" s="44"/>
    </row>
    <row r="131" spans="1:5" x14ac:dyDescent="0.4">
      <c r="A131" s="53" t="s">
        <v>126</v>
      </c>
      <c r="B131" s="46">
        <f>SUM(B73:B113)</f>
        <v>7211</v>
      </c>
      <c r="C131" s="46">
        <f>SUM(C73:C113)</f>
        <v>9426</v>
      </c>
      <c r="D131" s="46">
        <f t="shared" si="2"/>
        <v>16637</v>
      </c>
      <c r="E131" s="44"/>
    </row>
    <row r="132" spans="1:5" x14ac:dyDescent="0.4">
      <c r="A132" s="48" t="s">
        <v>133</v>
      </c>
      <c r="B132" s="51">
        <f>SUM(B130:B131)</f>
        <v>9762</v>
      </c>
      <c r="C132" s="51">
        <f>SUM(C130:C131)</f>
        <v>12253</v>
      </c>
      <c r="D132" s="51">
        <f>SUM(D130:D131)</f>
        <v>22015</v>
      </c>
      <c r="E132" s="52">
        <f>D132/D135</f>
        <v>0.25502166207168175</v>
      </c>
    </row>
    <row r="133" spans="1:5" x14ac:dyDescent="0.4">
      <c r="A133" s="44"/>
      <c r="B133" s="44"/>
      <c r="C133" s="44"/>
      <c r="D133" s="44"/>
      <c r="E133" s="44"/>
    </row>
    <row r="134" spans="1:5" x14ac:dyDescent="0.4">
      <c r="A134" s="151" t="s">
        <v>128</v>
      </c>
      <c r="B134" s="43" t="s">
        <v>1</v>
      </c>
      <c r="C134" s="43" t="s">
        <v>2</v>
      </c>
      <c r="D134" s="43" t="s">
        <v>3</v>
      </c>
      <c r="E134" s="44"/>
    </row>
    <row r="135" spans="1:5" x14ac:dyDescent="0.4">
      <c r="A135" s="152"/>
      <c r="B135" s="46">
        <f>SUM(B3:B113)</f>
        <v>42976</v>
      </c>
      <c r="C135" s="46">
        <f>SUM(C3:C113)</f>
        <v>43350</v>
      </c>
      <c r="D135" s="46">
        <f>B135+C135</f>
        <v>86326</v>
      </c>
      <c r="E135" s="44"/>
    </row>
    <row r="137" spans="1:5" x14ac:dyDescent="0.4">
      <c r="A137" s="41" t="s">
        <v>129</v>
      </c>
    </row>
  </sheetData>
  <mergeCells count="2">
    <mergeCell ref="A1:E1"/>
    <mergeCell ref="A134:A135"/>
  </mergeCells>
  <phoneticPr fontId="16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7"/>
  <sheetViews>
    <sheetView topLeftCell="A119" workbookViewId="0">
      <selection activeCell="L130" sqref="L130:L131"/>
    </sheetView>
  </sheetViews>
  <sheetFormatPr defaultRowHeight="18.75" x14ac:dyDescent="0.4"/>
  <cols>
    <col min="1" max="6" width="9" style="54"/>
    <col min="7" max="7" width="35.125" style="54" bestFit="1" customWidth="1"/>
    <col min="8" max="16384" width="9" style="54"/>
  </cols>
  <sheetData>
    <row r="1" spans="1:7" ht="19.5" x14ac:dyDescent="0.4">
      <c r="A1" s="156" t="s">
        <v>164</v>
      </c>
      <c r="B1" s="156"/>
      <c r="C1" s="156"/>
      <c r="D1" s="156"/>
      <c r="E1" s="156"/>
      <c r="G1" s="55"/>
    </row>
    <row r="2" spans="1:7" x14ac:dyDescent="0.4">
      <c r="A2" s="56" t="s">
        <v>0</v>
      </c>
      <c r="B2" s="56" t="s">
        <v>1</v>
      </c>
      <c r="C2" s="56" t="s">
        <v>2</v>
      </c>
      <c r="D2" s="56" t="s">
        <v>3</v>
      </c>
      <c r="E2" s="57"/>
    </row>
    <row r="3" spans="1:7" x14ac:dyDescent="0.4">
      <c r="A3" s="58" t="s">
        <v>159</v>
      </c>
      <c r="B3" s="59">
        <f>HLOOKUP(SUBSTITUTE(CONCATENATE(SUBSTITUTE(SUBSTITUTE(A3,"歳","")," ",""),"_男")," ",""),[6]データ貼り付けシート!$1:$2,2,FALSE)</f>
        <v>396</v>
      </c>
      <c r="C3" s="59">
        <f>HLOOKUP(SUBSTITUTE(CONCATENATE(SUBSTITUTE(SUBSTITUTE(A3,"歳","")," ",""),"_女")," ",""),[6]データ貼り付けシート!$1:$2,2,FALSE)</f>
        <v>383</v>
      </c>
      <c r="D3" s="59">
        <f>HLOOKUP(SUBSTITUTE(CONCATENATE(SUBSTITUTE(SUBSTITUTE(A3,"歳","")," ",""),"_全体")," ",""),[6]データ貼り付けシート!$1:$2,2,FALSE)</f>
        <v>779</v>
      </c>
      <c r="E3" s="57"/>
    </row>
    <row r="4" spans="1:7" x14ac:dyDescent="0.4">
      <c r="A4" s="58" t="s">
        <v>5</v>
      </c>
      <c r="B4" s="59">
        <f>HLOOKUP(SUBSTITUTE(CONCATENATE(SUBSTITUTE(SUBSTITUTE(A4,"歳","")," ",""),"_男")," ",""),[6]データ貼り付けシート!$1:$2,2,FALSE)</f>
        <v>411</v>
      </c>
      <c r="C4" s="59">
        <f>HLOOKUP(SUBSTITUTE(CONCATENATE(SUBSTITUTE(SUBSTITUTE(A4,"歳","")," ",""),"_女")," ",""),[6]データ貼り付けシート!$1:$2,2,FALSE)</f>
        <v>409</v>
      </c>
      <c r="D4" s="59">
        <f>HLOOKUP(SUBSTITUTE(CONCATENATE(SUBSTITUTE(SUBSTITUTE(A4,"歳","")," ",""),"_全体")," ",""),[6]データ貼り付けシート!$1:$2,2,FALSE)</f>
        <v>820</v>
      </c>
      <c r="E4" s="57"/>
    </row>
    <row r="5" spans="1:7" x14ac:dyDescent="0.4">
      <c r="A5" s="58" t="s">
        <v>6</v>
      </c>
      <c r="B5" s="59">
        <f>HLOOKUP(SUBSTITUTE(CONCATENATE(SUBSTITUTE(SUBSTITUTE(A5,"歳","")," ",""),"_男")," ",""),[6]データ貼り付けシート!$1:$2,2,FALSE)</f>
        <v>396</v>
      </c>
      <c r="C5" s="59">
        <f>HLOOKUP(SUBSTITUTE(CONCATENATE(SUBSTITUTE(SUBSTITUTE(A5,"歳","")," ",""),"_女")," ",""),[6]データ貼り付けシート!$1:$2,2,FALSE)</f>
        <v>339</v>
      </c>
      <c r="D5" s="59">
        <f>HLOOKUP(SUBSTITUTE(CONCATENATE(SUBSTITUTE(SUBSTITUTE(A5,"歳","")," ",""),"_全体")," ",""),[6]データ貼り付けシート!$1:$2,2,FALSE)</f>
        <v>735</v>
      </c>
      <c r="E5" s="57"/>
    </row>
    <row r="6" spans="1:7" x14ac:dyDescent="0.4">
      <c r="A6" s="58" t="s">
        <v>7</v>
      </c>
      <c r="B6" s="59">
        <f>HLOOKUP(SUBSTITUTE(CONCATENATE(SUBSTITUTE(SUBSTITUTE(A6,"歳","")," ",""),"_男")," ",""),[6]データ貼り付けシート!$1:$2,2,FALSE)</f>
        <v>430</v>
      </c>
      <c r="C6" s="59">
        <f>HLOOKUP(SUBSTITUTE(CONCATENATE(SUBSTITUTE(SUBSTITUTE(A6,"歳","")," ",""),"_女")," ",""),[6]データ貼り付けシート!$1:$2,2,FALSE)</f>
        <v>384</v>
      </c>
      <c r="D6" s="59">
        <f>HLOOKUP(SUBSTITUTE(CONCATENATE(SUBSTITUTE(SUBSTITUTE(A6,"歳","")," ",""),"_全体")," ",""),[6]データ貼り付けシート!$1:$2,2,FALSE)</f>
        <v>814</v>
      </c>
      <c r="E6" s="57"/>
    </row>
    <row r="7" spans="1:7" x14ac:dyDescent="0.4">
      <c r="A7" s="58" t="s">
        <v>8</v>
      </c>
      <c r="B7" s="59">
        <f>HLOOKUP(SUBSTITUTE(CONCATENATE(SUBSTITUTE(SUBSTITUTE(A7,"歳","")," ",""),"_男")," ",""),[6]データ貼り付けシート!$1:$2,2,FALSE)</f>
        <v>338</v>
      </c>
      <c r="C7" s="59">
        <f>HLOOKUP(SUBSTITUTE(CONCATENATE(SUBSTITUTE(SUBSTITUTE(A7,"歳","")," ",""),"_女")," ",""),[6]データ貼り付けシート!$1:$2,2,FALSE)</f>
        <v>367</v>
      </c>
      <c r="D7" s="59">
        <f>HLOOKUP(SUBSTITUTE(CONCATENATE(SUBSTITUTE(SUBSTITUTE(A7,"歳","")," ",""),"_全体")," ",""),[6]データ貼り付けシート!$1:$2,2,FALSE)</f>
        <v>705</v>
      </c>
      <c r="E7" s="57"/>
    </row>
    <row r="8" spans="1:7" x14ac:dyDescent="0.4">
      <c r="A8" s="58" t="s">
        <v>9</v>
      </c>
      <c r="B8" s="59">
        <f>HLOOKUP(SUBSTITUTE(CONCATENATE(SUBSTITUTE(SUBSTITUTE(A8,"歳","")," ",""),"_男")," ",""),[6]データ貼り付けシート!$1:$2,2,FALSE)</f>
        <v>384</v>
      </c>
      <c r="C8" s="59">
        <f>HLOOKUP(SUBSTITUTE(CONCATENATE(SUBSTITUTE(SUBSTITUTE(A8,"歳","")," ",""),"_女")," ",""),[6]データ貼り付けシート!$1:$2,2,FALSE)</f>
        <v>369</v>
      </c>
      <c r="D8" s="59">
        <f>HLOOKUP(SUBSTITUTE(CONCATENATE(SUBSTITUTE(SUBSTITUTE(A8,"歳","")," ",""),"_全体")," ",""),[6]データ貼り付けシート!$1:$2,2,FALSE)</f>
        <v>753</v>
      </c>
      <c r="E8" s="57"/>
    </row>
    <row r="9" spans="1:7" x14ac:dyDescent="0.4">
      <c r="A9" s="58" t="s">
        <v>10</v>
      </c>
      <c r="B9" s="59">
        <f>HLOOKUP(SUBSTITUTE(CONCATENATE(SUBSTITUTE(SUBSTITUTE(A9,"歳","")," ",""),"_男")," ",""),[6]データ貼り付けシート!$1:$2,2,FALSE)</f>
        <v>378</v>
      </c>
      <c r="C9" s="59">
        <f>HLOOKUP(SUBSTITUTE(CONCATENATE(SUBSTITUTE(SUBSTITUTE(A9,"歳","")," ",""),"_女")," ",""),[6]データ貼り付けシート!$1:$2,2,FALSE)</f>
        <v>312</v>
      </c>
      <c r="D9" s="59">
        <f>HLOOKUP(SUBSTITUTE(CONCATENATE(SUBSTITUTE(SUBSTITUTE(A9,"歳","")," ",""),"_全体")," ",""),[6]データ貼り付けシート!$1:$2,2,FALSE)</f>
        <v>690</v>
      </c>
      <c r="E9" s="57"/>
    </row>
    <row r="10" spans="1:7" x14ac:dyDescent="0.4">
      <c r="A10" s="58" t="s">
        <v>11</v>
      </c>
      <c r="B10" s="59">
        <f>HLOOKUP(SUBSTITUTE(CONCATENATE(SUBSTITUTE(SUBSTITUTE(A10,"歳","")," ",""),"_男")," ",""),[6]データ貼り付けシート!$1:$2,2,FALSE)</f>
        <v>348</v>
      </c>
      <c r="C10" s="59">
        <f>HLOOKUP(SUBSTITUTE(CONCATENATE(SUBSTITUTE(SUBSTITUTE(A10,"歳","")," ",""),"_女")," ",""),[6]データ貼り付けシート!$1:$2,2,FALSE)</f>
        <v>390</v>
      </c>
      <c r="D10" s="59">
        <f>HLOOKUP(SUBSTITUTE(CONCATENATE(SUBSTITUTE(SUBSTITUTE(A10,"歳","")," ",""),"_全体")," ",""),[6]データ貼り付けシート!$1:$2,2,FALSE)</f>
        <v>738</v>
      </c>
      <c r="E10" s="57"/>
    </row>
    <row r="11" spans="1:7" x14ac:dyDescent="0.4">
      <c r="A11" s="58" t="s">
        <v>12</v>
      </c>
      <c r="B11" s="59">
        <f>HLOOKUP(SUBSTITUTE(CONCATENATE(SUBSTITUTE(SUBSTITUTE(A11,"歳","")," ",""),"_男")," ",""),[6]データ貼り付けシート!$1:$2,2,FALSE)</f>
        <v>383</v>
      </c>
      <c r="C11" s="59">
        <f>HLOOKUP(SUBSTITUTE(CONCATENATE(SUBSTITUTE(SUBSTITUTE(A11,"歳","")," ",""),"_女")," ",""),[6]データ貼り付けシート!$1:$2,2,FALSE)</f>
        <v>348</v>
      </c>
      <c r="D11" s="59">
        <f>HLOOKUP(SUBSTITUTE(CONCATENATE(SUBSTITUTE(SUBSTITUTE(A11,"歳","")," ",""),"_全体")," ",""),[6]データ貼り付けシート!$1:$2,2,FALSE)</f>
        <v>731</v>
      </c>
      <c r="E11" s="57"/>
    </row>
    <row r="12" spans="1:7" x14ac:dyDescent="0.4">
      <c r="A12" s="58" t="s">
        <v>13</v>
      </c>
      <c r="B12" s="59">
        <f>HLOOKUP(SUBSTITUTE(CONCATENATE(SUBSTITUTE(SUBSTITUTE(A12,"歳","")," ",""),"_男")," ",""),[6]データ貼り付けシート!$1:$2,2,FALSE)</f>
        <v>390</v>
      </c>
      <c r="C12" s="59">
        <f>HLOOKUP(SUBSTITUTE(CONCATENATE(SUBSTITUTE(SUBSTITUTE(A12,"歳","")," ",""),"_女")," ",""),[6]データ貼り付けシート!$1:$2,2,FALSE)</f>
        <v>362</v>
      </c>
      <c r="D12" s="59">
        <f>HLOOKUP(SUBSTITUTE(CONCATENATE(SUBSTITUTE(SUBSTITUTE(A12,"歳","")," ",""),"_全体")," ",""),[6]データ貼り付けシート!$1:$2,2,FALSE)</f>
        <v>752</v>
      </c>
      <c r="E12" s="57"/>
    </row>
    <row r="13" spans="1:7" x14ac:dyDescent="0.4">
      <c r="A13" s="58" t="s">
        <v>14</v>
      </c>
      <c r="B13" s="59">
        <f>HLOOKUP(SUBSTITUTE(CONCATENATE(SUBSTITUTE(SUBSTITUTE(A13,"歳","")," ",""),"_男")," ",""),[6]データ貼り付けシート!$1:$2,2,FALSE)</f>
        <v>356</v>
      </c>
      <c r="C13" s="59">
        <f>HLOOKUP(SUBSTITUTE(CONCATENATE(SUBSTITUTE(SUBSTITUTE(A13,"歳","")," ",""),"_女")," ",""),[6]データ貼り付けシート!$1:$2,2,FALSE)</f>
        <v>360</v>
      </c>
      <c r="D13" s="59">
        <f>HLOOKUP(SUBSTITUTE(CONCATENATE(SUBSTITUTE(SUBSTITUTE(A13,"歳","")," ",""),"_全体")," ",""),[6]データ貼り付けシート!$1:$2,2,FALSE)</f>
        <v>716</v>
      </c>
      <c r="E13" s="57"/>
    </row>
    <row r="14" spans="1:7" x14ac:dyDescent="0.4">
      <c r="A14" s="58" t="s">
        <v>15</v>
      </c>
      <c r="B14" s="59">
        <f>HLOOKUP(SUBSTITUTE(CONCATENATE(SUBSTITUTE(SUBSTITUTE(A14,"歳","")," ",""),"_男")," ",""),[6]データ貼り付けシート!$1:$2,2,FALSE)</f>
        <v>355</v>
      </c>
      <c r="C14" s="59">
        <f>HLOOKUP(SUBSTITUTE(CONCATENATE(SUBSTITUTE(SUBSTITUTE(A14,"歳","")," ",""),"_女")," ",""),[6]データ貼り付けシート!$1:$2,2,FALSE)</f>
        <v>372</v>
      </c>
      <c r="D14" s="59">
        <f>HLOOKUP(SUBSTITUTE(CONCATENATE(SUBSTITUTE(SUBSTITUTE(A14,"歳","")," ",""),"_全体")," ",""),[6]データ貼り付けシート!$1:$2,2,FALSE)</f>
        <v>727</v>
      </c>
      <c r="E14" s="57"/>
    </row>
    <row r="15" spans="1:7" x14ac:dyDescent="0.4">
      <c r="A15" s="58" t="s">
        <v>16</v>
      </c>
      <c r="B15" s="59">
        <f>HLOOKUP(SUBSTITUTE(CONCATENATE(SUBSTITUTE(SUBSTITUTE(A15,"歳","")," ",""),"_男")," ",""),[6]データ貼り付けシート!$1:$2,2,FALSE)</f>
        <v>381</v>
      </c>
      <c r="C15" s="59">
        <f>HLOOKUP(SUBSTITUTE(CONCATENATE(SUBSTITUTE(SUBSTITUTE(A15,"歳","")," ",""),"_女")," ",""),[6]データ貼り付けシート!$1:$2,2,FALSE)</f>
        <v>340</v>
      </c>
      <c r="D15" s="59">
        <f>HLOOKUP(SUBSTITUTE(CONCATENATE(SUBSTITUTE(SUBSTITUTE(A15,"歳","")," ",""),"_全体")," ",""),[6]データ貼り付けシート!$1:$2,2,FALSE)</f>
        <v>721</v>
      </c>
      <c r="E15" s="57"/>
    </row>
    <row r="16" spans="1:7" x14ac:dyDescent="0.4">
      <c r="A16" s="58" t="s">
        <v>17</v>
      </c>
      <c r="B16" s="59">
        <f>HLOOKUP(SUBSTITUTE(CONCATENATE(SUBSTITUTE(SUBSTITUTE(A16,"歳","")," ",""),"_男")," ",""),[6]データ貼り付けシート!$1:$2,2,FALSE)</f>
        <v>377</v>
      </c>
      <c r="C16" s="59">
        <f>HLOOKUP(SUBSTITUTE(CONCATENATE(SUBSTITUTE(SUBSTITUTE(A16,"歳","")," ",""),"_女")," ",""),[6]データ貼り付けシート!$1:$2,2,FALSE)</f>
        <v>366</v>
      </c>
      <c r="D16" s="59">
        <f>HLOOKUP(SUBSTITUTE(CONCATENATE(SUBSTITUTE(SUBSTITUTE(A16,"歳","")," ",""),"_全体")," ",""),[6]データ貼り付けシート!$1:$2,2,FALSE)</f>
        <v>743</v>
      </c>
      <c r="E16" s="57"/>
    </row>
    <row r="17" spans="1:5" x14ac:dyDescent="0.4">
      <c r="A17" s="58" t="s">
        <v>18</v>
      </c>
      <c r="B17" s="59">
        <f>HLOOKUP(SUBSTITUTE(CONCATENATE(SUBSTITUTE(SUBSTITUTE(A17,"歳","")," ",""),"_男")," ",""),[6]データ貼り付けシート!$1:$2,2,FALSE)</f>
        <v>414</v>
      </c>
      <c r="C17" s="59">
        <f>HLOOKUP(SUBSTITUTE(CONCATENATE(SUBSTITUTE(SUBSTITUTE(A17,"歳","")," ",""),"_女")," ",""),[6]データ貼り付けシート!$1:$2,2,FALSE)</f>
        <v>361</v>
      </c>
      <c r="D17" s="59">
        <f>HLOOKUP(SUBSTITUTE(CONCATENATE(SUBSTITUTE(SUBSTITUTE(A17,"歳","")," ",""),"_全体")," ",""),[6]データ貼り付けシート!$1:$2,2,FALSE)</f>
        <v>775</v>
      </c>
      <c r="E17" s="57"/>
    </row>
    <row r="18" spans="1:5" x14ac:dyDescent="0.4">
      <c r="A18" s="58" t="s">
        <v>19</v>
      </c>
      <c r="B18" s="59">
        <f>HLOOKUP(SUBSTITUTE(CONCATENATE(SUBSTITUTE(SUBSTITUTE(A18,"歳","")," ",""),"_男")," ",""),[6]データ貼り付けシート!$1:$2,2,FALSE)</f>
        <v>398</v>
      </c>
      <c r="C18" s="59">
        <f>HLOOKUP(SUBSTITUTE(CONCATENATE(SUBSTITUTE(SUBSTITUTE(A18,"歳","")," ",""),"_女")," ",""),[6]データ貼り付けシート!$1:$2,2,FALSE)</f>
        <v>370</v>
      </c>
      <c r="D18" s="59">
        <f>HLOOKUP(SUBSTITUTE(CONCATENATE(SUBSTITUTE(SUBSTITUTE(A18,"歳","")," ",""),"_全体")," ",""),[6]データ貼り付けシート!$1:$2,2,FALSE)</f>
        <v>768</v>
      </c>
      <c r="E18" s="57"/>
    </row>
    <row r="19" spans="1:5" x14ac:dyDescent="0.4">
      <c r="A19" s="58" t="s">
        <v>20</v>
      </c>
      <c r="B19" s="59">
        <f>HLOOKUP(SUBSTITUTE(CONCATENATE(SUBSTITUTE(SUBSTITUTE(A19,"歳","")," ",""),"_男")," ",""),[6]データ貼り付けシート!$1:$2,2,FALSE)</f>
        <v>359</v>
      </c>
      <c r="C19" s="59">
        <f>HLOOKUP(SUBSTITUTE(CONCATENATE(SUBSTITUTE(SUBSTITUTE(A19,"歳","")," ",""),"_女")," ",""),[6]データ貼り付けシート!$1:$2,2,FALSE)</f>
        <v>368</v>
      </c>
      <c r="D19" s="59">
        <f>HLOOKUP(SUBSTITUTE(CONCATENATE(SUBSTITUTE(SUBSTITUTE(A19,"歳","")," ",""),"_全体")," ",""),[6]データ貼り付けシート!$1:$2,2,FALSE)</f>
        <v>727</v>
      </c>
      <c r="E19" s="57"/>
    </row>
    <row r="20" spans="1:5" x14ac:dyDescent="0.4">
      <c r="A20" s="58" t="s">
        <v>21</v>
      </c>
      <c r="B20" s="59">
        <f>HLOOKUP(SUBSTITUTE(CONCATENATE(SUBSTITUTE(SUBSTITUTE(A20,"歳","")," ",""),"_男")," ",""),[6]データ貼り付けシート!$1:$2,2,FALSE)</f>
        <v>437</v>
      </c>
      <c r="C20" s="59">
        <f>HLOOKUP(SUBSTITUTE(CONCATENATE(SUBSTITUTE(SUBSTITUTE(A20,"歳","")," ",""),"_女")," ",""),[6]データ貼り付けシート!$1:$2,2,FALSE)</f>
        <v>419</v>
      </c>
      <c r="D20" s="59">
        <f>HLOOKUP(SUBSTITUTE(CONCATENATE(SUBSTITUTE(SUBSTITUTE(A20,"歳","")," ",""),"_全体")," ",""),[6]データ貼り付けシート!$1:$2,2,FALSE)</f>
        <v>856</v>
      </c>
      <c r="E20" s="57"/>
    </row>
    <row r="21" spans="1:5" x14ac:dyDescent="0.4">
      <c r="A21" s="58" t="s">
        <v>22</v>
      </c>
      <c r="B21" s="59">
        <f>HLOOKUP(SUBSTITUTE(CONCATENATE(SUBSTITUTE(SUBSTITUTE(A21,"歳","")," ",""),"_男")," ",""),[6]データ貼り付けシート!$1:$2,2,FALSE)</f>
        <v>455</v>
      </c>
      <c r="C21" s="59">
        <f>HLOOKUP(SUBSTITUTE(CONCATENATE(SUBSTITUTE(SUBSTITUTE(A21,"歳","")," ",""),"_女")," ",""),[6]データ貼り付けシート!$1:$2,2,FALSE)</f>
        <v>378</v>
      </c>
      <c r="D21" s="59">
        <f>HLOOKUP(SUBSTITUTE(CONCATENATE(SUBSTITUTE(SUBSTITUTE(A21,"歳","")," ",""),"_全体")," ",""),[6]データ貼り付けシート!$1:$2,2,FALSE)</f>
        <v>833</v>
      </c>
      <c r="E21" s="57"/>
    </row>
    <row r="22" spans="1:5" x14ac:dyDescent="0.4">
      <c r="A22" s="58" t="s">
        <v>23</v>
      </c>
      <c r="B22" s="59">
        <f>HLOOKUP(SUBSTITUTE(CONCATENATE(SUBSTITUTE(SUBSTITUTE(A22,"歳","")," ",""),"_男")," ",""),[6]データ貼り付けシート!$1:$2,2,FALSE)</f>
        <v>456</v>
      </c>
      <c r="C22" s="59">
        <f>HLOOKUP(SUBSTITUTE(CONCATENATE(SUBSTITUTE(SUBSTITUTE(A22,"歳","")," ",""),"_女")," ",""),[6]データ貼り付けシート!$1:$2,2,FALSE)</f>
        <v>443</v>
      </c>
      <c r="D22" s="59">
        <f>HLOOKUP(SUBSTITUTE(CONCATENATE(SUBSTITUTE(SUBSTITUTE(A22,"歳","")," ",""),"_全体")," ",""),[6]データ貼り付けシート!$1:$2,2,FALSE)</f>
        <v>899</v>
      </c>
      <c r="E22" s="57"/>
    </row>
    <row r="23" spans="1:5" x14ac:dyDescent="0.4">
      <c r="A23" s="58" t="s">
        <v>24</v>
      </c>
      <c r="B23" s="59">
        <f>HLOOKUP(SUBSTITUTE(CONCATENATE(SUBSTITUTE(SUBSTITUTE(A23,"歳","")," ",""),"_男")," ",""),[6]データ貼り付けシート!$1:$2,2,FALSE)</f>
        <v>478</v>
      </c>
      <c r="C23" s="59">
        <f>HLOOKUP(SUBSTITUTE(CONCATENATE(SUBSTITUTE(SUBSTITUTE(A23,"歳","")," ",""),"_女")," ",""),[6]データ貼り付けシート!$1:$2,2,FALSE)</f>
        <v>429</v>
      </c>
      <c r="D23" s="59">
        <f>HLOOKUP(SUBSTITUTE(CONCATENATE(SUBSTITUTE(SUBSTITUTE(A23,"歳","")," ",""),"_全体")," ",""),[6]データ貼り付けシート!$1:$2,2,FALSE)</f>
        <v>907</v>
      </c>
      <c r="E23" s="57"/>
    </row>
    <row r="24" spans="1:5" x14ac:dyDescent="0.4">
      <c r="A24" s="58" t="s">
        <v>25</v>
      </c>
      <c r="B24" s="59">
        <f>HLOOKUP(SUBSTITUTE(CONCATENATE(SUBSTITUTE(SUBSTITUTE(A24,"歳","")," ",""),"_男")," ",""),[6]データ貼り付けシート!$1:$2,2,FALSE)</f>
        <v>477</v>
      </c>
      <c r="C24" s="59">
        <f>HLOOKUP(SUBSTITUTE(CONCATENATE(SUBSTITUTE(SUBSTITUTE(A24,"歳","")," ",""),"_女")," ",""),[6]データ貼り付けシート!$1:$2,2,FALSE)</f>
        <v>415</v>
      </c>
      <c r="D24" s="59">
        <f>HLOOKUP(SUBSTITUTE(CONCATENATE(SUBSTITUTE(SUBSTITUTE(A24,"歳","")," ",""),"_全体")," ",""),[6]データ貼り付けシート!$1:$2,2,FALSE)</f>
        <v>892</v>
      </c>
      <c r="E24" s="57"/>
    </row>
    <row r="25" spans="1:5" x14ac:dyDescent="0.4">
      <c r="A25" s="58" t="s">
        <v>26</v>
      </c>
      <c r="B25" s="59">
        <f>HLOOKUP(SUBSTITUTE(CONCATENATE(SUBSTITUTE(SUBSTITUTE(A25,"歳","")," ",""),"_男")," ",""),[6]データ貼り付けシート!$1:$2,2,FALSE)</f>
        <v>459</v>
      </c>
      <c r="C25" s="59">
        <f>HLOOKUP(SUBSTITUTE(CONCATENATE(SUBSTITUTE(SUBSTITUTE(A25,"歳","")," ",""),"_女")," ",""),[6]データ貼り付けシート!$1:$2,2,FALSE)</f>
        <v>481</v>
      </c>
      <c r="D25" s="59">
        <f>HLOOKUP(SUBSTITUTE(CONCATENATE(SUBSTITUTE(SUBSTITUTE(A25,"歳","")," ",""),"_全体")," ",""),[6]データ貼り付けシート!$1:$2,2,FALSE)</f>
        <v>940</v>
      </c>
      <c r="E25" s="57"/>
    </row>
    <row r="26" spans="1:5" x14ac:dyDescent="0.4">
      <c r="A26" s="58" t="s">
        <v>27</v>
      </c>
      <c r="B26" s="59">
        <f>HLOOKUP(SUBSTITUTE(CONCATENATE(SUBSTITUTE(SUBSTITUTE(A26,"歳","")," ",""),"_男")," ",""),[6]データ貼り付けシート!$1:$2,2,FALSE)</f>
        <v>506</v>
      </c>
      <c r="C26" s="59">
        <f>HLOOKUP(SUBSTITUTE(CONCATENATE(SUBSTITUTE(SUBSTITUTE(A26,"歳","")," ",""),"_女")," ",""),[6]データ貼り付けシート!$1:$2,2,FALSE)</f>
        <v>483</v>
      </c>
      <c r="D26" s="59">
        <f>HLOOKUP(SUBSTITUTE(CONCATENATE(SUBSTITUTE(SUBSTITUTE(A26,"歳","")," ",""),"_全体")," ",""),[6]データ貼り付けシート!$1:$2,2,FALSE)</f>
        <v>989</v>
      </c>
      <c r="E26" s="57"/>
    </row>
    <row r="27" spans="1:5" x14ac:dyDescent="0.4">
      <c r="A27" s="58" t="s">
        <v>28</v>
      </c>
      <c r="B27" s="59">
        <f>HLOOKUP(SUBSTITUTE(CONCATENATE(SUBSTITUTE(SUBSTITUTE(A27,"歳","")," ",""),"_男")," ",""),[6]データ貼り付けシート!$1:$2,2,FALSE)</f>
        <v>483</v>
      </c>
      <c r="C27" s="59">
        <f>HLOOKUP(SUBSTITUTE(CONCATENATE(SUBSTITUTE(SUBSTITUTE(A27,"歳","")," ",""),"_女")," ",""),[6]データ貼り付けシート!$1:$2,2,FALSE)</f>
        <v>428</v>
      </c>
      <c r="D27" s="59">
        <f>HLOOKUP(SUBSTITUTE(CONCATENATE(SUBSTITUTE(SUBSTITUTE(A27,"歳","")," ",""),"_全体")," ",""),[6]データ貼り付けシート!$1:$2,2,FALSE)</f>
        <v>911</v>
      </c>
      <c r="E27" s="57"/>
    </row>
    <row r="28" spans="1:5" x14ac:dyDescent="0.4">
      <c r="A28" s="58" t="s">
        <v>29</v>
      </c>
      <c r="B28" s="59">
        <f>HLOOKUP(SUBSTITUTE(CONCATENATE(SUBSTITUTE(SUBSTITUTE(A28,"歳","")," ",""),"_男")," ",""),[6]データ貼り付けシート!$1:$2,2,FALSE)</f>
        <v>544</v>
      </c>
      <c r="C28" s="59">
        <f>HLOOKUP(SUBSTITUTE(CONCATENATE(SUBSTITUTE(SUBSTITUTE(A28,"歳","")," ",""),"_女")," ",""),[6]データ貼り付けシート!$1:$2,2,FALSE)</f>
        <v>444</v>
      </c>
      <c r="D28" s="59">
        <f>HLOOKUP(SUBSTITUTE(CONCATENATE(SUBSTITUTE(SUBSTITUTE(A28,"歳","")," ",""),"_全体")," ",""),[6]データ貼り付けシート!$1:$2,2,FALSE)</f>
        <v>988</v>
      </c>
      <c r="E28" s="57"/>
    </row>
    <row r="29" spans="1:5" x14ac:dyDescent="0.4">
      <c r="A29" s="58" t="s">
        <v>30</v>
      </c>
      <c r="B29" s="59">
        <f>HLOOKUP(SUBSTITUTE(CONCATENATE(SUBSTITUTE(SUBSTITUTE(A29,"歳","")," ",""),"_男")," ",""),[6]データ貼り付けシート!$1:$2,2,FALSE)</f>
        <v>511</v>
      </c>
      <c r="C29" s="59">
        <f>HLOOKUP(SUBSTITUTE(CONCATENATE(SUBSTITUTE(SUBSTITUTE(A29,"歳","")," ",""),"_女")," ",""),[6]データ貼り付けシート!$1:$2,2,FALSE)</f>
        <v>475</v>
      </c>
      <c r="D29" s="59">
        <f>HLOOKUP(SUBSTITUTE(CONCATENATE(SUBSTITUTE(SUBSTITUTE(A29,"歳","")," ",""),"_全体")," ",""),[6]データ貼り付けシート!$1:$2,2,FALSE)</f>
        <v>986</v>
      </c>
      <c r="E29" s="57"/>
    </row>
    <row r="30" spans="1:5" x14ac:dyDescent="0.4">
      <c r="A30" s="58" t="s">
        <v>31</v>
      </c>
      <c r="B30" s="59">
        <f>HLOOKUP(SUBSTITUTE(CONCATENATE(SUBSTITUTE(SUBSTITUTE(A30,"歳","")," ",""),"_男")," ",""),[6]データ貼り付けシート!$1:$2,2,FALSE)</f>
        <v>507</v>
      </c>
      <c r="C30" s="59">
        <f>HLOOKUP(SUBSTITUTE(CONCATENATE(SUBSTITUTE(SUBSTITUTE(A30,"歳","")," ",""),"_女")," ",""),[6]データ貼り付けシート!$1:$2,2,FALSE)</f>
        <v>470</v>
      </c>
      <c r="D30" s="59">
        <f>HLOOKUP(SUBSTITUTE(CONCATENATE(SUBSTITUTE(SUBSTITUTE(A30,"歳","")," ",""),"_全体")," ",""),[6]データ貼り付けシート!$1:$2,2,FALSE)</f>
        <v>977</v>
      </c>
      <c r="E30" s="57"/>
    </row>
    <row r="31" spans="1:5" x14ac:dyDescent="0.4">
      <c r="A31" s="58" t="s">
        <v>32</v>
      </c>
      <c r="B31" s="59">
        <f>HLOOKUP(SUBSTITUTE(CONCATENATE(SUBSTITUTE(SUBSTITUTE(A31,"歳","")," ",""),"_男")," ",""),[6]データ貼り付けシート!$1:$2,2,FALSE)</f>
        <v>541</v>
      </c>
      <c r="C31" s="59">
        <f>HLOOKUP(SUBSTITUTE(CONCATENATE(SUBSTITUTE(SUBSTITUTE(A31,"歳","")," ",""),"_女")," ",""),[6]データ貼り付けシート!$1:$2,2,FALSE)</f>
        <v>532</v>
      </c>
      <c r="D31" s="59">
        <f>HLOOKUP(SUBSTITUTE(CONCATENATE(SUBSTITUTE(SUBSTITUTE(A31,"歳","")," ",""),"_全体")," ",""),[6]データ貼り付けシート!$1:$2,2,FALSE)</f>
        <v>1073</v>
      </c>
      <c r="E31" s="57"/>
    </row>
    <row r="32" spans="1:5" x14ac:dyDescent="0.4">
      <c r="A32" s="58" t="s">
        <v>33</v>
      </c>
      <c r="B32" s="59">
        <f>HLOOKUP(SUBSTITUTE(CONCATENATE(SUBSTITUTE(SUBSTITUTE(A32,"歳","")," ",""),"_男")," ",""),[6]データ貼り付けシート!$1:$2,2,FALSE)</f>
        <v>498</v>
      </c>
      <c r="C32" s="59">
        <f>HLOOKUP(SUBSTITUTE(CONCATENATE(SUBSTITUTE(SUBSTITUTE(A32,"歳","")," ",""),"_女")," ",""),[6]データ貼り付けシート!$1:$2,2,FALSE)</f>
        <v>510</v>
      </c>
      <c r="D32" s="59">
        <f>HLOOKUP(SUBSTITUTE(CONCATENATE(SUBSTITUTE(SUBSTITUTE(A32,"歳","")," ",""),"_全体")," ",""),[6]データ貼り付けシート!$1:$2,2,FALSE)</f>
        <v>1008</v>
      </c>
      <c r="E32" s="57"/>
    </row>
    <row r="33" spans="1:5" x14ac:dyDescent="0.4">
      <c r="A33" s="58" t="s">
        <v>34</v>
      </c>
      <c r="B33" s="59">
        <f>HLOOKUP(SUBSTITUTE(CONCATENATE(SUBSTITUTE(SUBSTITUTE(A33,"歳","")," ",""),"_男")," ",""),[6]データ貼り付けシート!$1:$2,2,FALSE)</f>
        <v>554</v>
      </c>
      <c r="C33" s="59">
        <f>HLOOKUP(SUBSTITUTE(CONCATENATE(SUBSTITUTE(SUBSTITUTE(A33,"歳","")," ",""),"_女")," ",""),[6]データ貼り付けシート!$1:$2,2,FALSE)</f>
        <v>534</v>
      </c>
      <c r="D33" s="59">
        <f>HLOOKUP(SUBSTITUTE(CONCATENATE(SUBSTITUTE(SUBSTITUTE(A33,"歳","")," ",""),"_全体")," ",""),[6]データ貼り付けシート!$1:$2,2,FALSE)</f>
        <v>1088</v>
      </c>
      <c r="E33" s="57"/>
    </row>
    <row r="34" spans="1:5" x14ac:dyDescent="0.4">
      <c r="A34" s="58" t="s">
        <v>35</v>
      </c>
      <c r="B34" s="59">
        <f>HLOOKUP(SUBSTITUTE(CONCATENATE(SUBSTITUTE(SUBSTITUTE(A34,"歳","")," ",""),"_男")," ",""),[6]データ貼り付けシート!$1:$2,2,FALSE)</f>
        <v>589</v>
      </c>
      <c r="C34" s="59">
        <f>HLOOKUP(SUBSTITUTE(CONCATENATE(SUBSTITUTE(SUBSTITUTE(A34,"歳","")," ",""),"_女")," ",""),[6]データ貼り付けシート!$1:$2,2,FALSE)</f>
        <v>541</v>
      </c>
      <c r="D34" s="59">
        <f>HLOOKUP(SUBSTITUTE(CONCATENATE(SUBSTITUTE(SUBSTITUTE(A34,"歳","")," ",""),"_全体")," ",""),[6]データ貼り付けシート!$1:$2,2,FALSE)</f>
        <v>1130</v>
      </c>
      <c r="E34" s="57"/>
    </row>
    <row r="35" spans="1:5" x14ac:dyDescent="0.4">
      <c r="A35" s="58" t="s">
        <v>36</v>
      </c>
      <c r="B35" s="59">
        <f>HLOOKUP(SUBSTITUTE(CONCATENATE(SUBSTITUTE(SUBSTITUTE(A35,"歳","")," ",""),"_男")," ",""),[6]データ貼り付けシート!$1:$2,2,FALSE)</f>
        <v>541</v>
      </c>
      <c r="C35" s="59">
        <f>HLOOKUP(SUBSTITUTE(CONCATENATE(SUBSTITUTE(SUBSTITUTE(A35,"歳","")," ",""),"_女")," ",""),[6]データ貼り付けシート!$1:$2,2,FALSE)</f>
        <v>526</v>
      </c>
      <c r="D35" s="59">
        <f>HLOOKUP(SUBSTITUTE(CONCATENATE(SUBSTITUTE(SUBSTITUTE(A35,"歳","")," ",""),"_全体")," ",""),[6]データ貼り付けシート!$1:$2,2,FALSE)</f>
        <v>1067</v>
      </c>
      <c r="E35" s="57"/>
    </row>
    <row r="36" spans="1:5" x14ac:dyDescent="0.4">
      <c r="A36" s="58" t="s">
        <v>37</v>
      </c>
      <c r="B36" s="59">
        <f>HLOOKUP(SUBSTITUTE(CONCATENATE(SUBSTITUTE(SUBSTITUTE(A36,"歳","")," ",""),"_男")," ",""),[6]データ貼り付けシート!$1:$2,2,FALSE)</f>
        <v>546</v>
      </c>
      <c r="C36" s="59">
        <f>HLOOKUP(SUBSTITUTE(CONCATENATE(SUBSTITUTE(SUBSTITUTE(A36,"歳","")," ",""),"_女")," ",""),[6]データ貼り付けシート!$1:$2,2,FALSE)</f>
        <v>527</v>
      </c>
      <c r="D36" s="59">
        <f>HLOOKUP(SUBSTITUTE(CONCATENATE(SUBSTITUTE(SUBSTITUTE(A36,"歳","")," ",""),"_全体")," ",""),[6]データ貼り付けシート!$1:$2,2,FALSE)</f>
        <v>1073</v>
      </c>
      <c r="E36" s="57"/>
    </row>
    <row r="37" spans="1:5" x14ac:dyDescent="0.4">
      <c r="A37" s="58" t="s">
        <v>38</v>
      </c>
      <c r="B37" s="59">
        <f>HLOOKUP(SUBSTITUTE(CONCATENATE(SUBSTITUTE(SUBSTITUTE(A37,"歳","")," ",""),"_男")," ",""),[6]データ貼り付けシート!$1:$2,2,FALSE)</f>
        <v>540</v>
      </c>
      <c r="C37" s="59">
        <f>HLOOKUP(SUBSTITUTE(CONCATENATE(SUBSTITUTE(SUBSTITUTE(A37,"歳","")," ",""),"_女")," ",""),[6]データ貼り付けシート!$1:$2,2,FALSE)</f>
        <v>505</v>
      </c>
      <c r="D37" s="59">
        <f>HLOOKUP(SUBSTITUTE(CONCATENATE(SUBSTITUTE(SUBSTITUTE(A37,"歳","")," ",""),"_全体")," ",""),[6]データ貼り付けシート!$1:$2,2,FALSE)</f>
        <v>1045</v>
      </c>
      <c r="E37" s="57"/>
    </row>
    <row r="38" spans="1:5" x14ac:dyDescent="0.4">
      <c r="A38" s="58" t="s">
        <v>39</v>
      </c>
      <c r="B38" s="59">
        <f>HLOOKUP(SUBSTITUTE(CONCATENATE(SUBSTITUTE(SUBSTITUTE(A38,"歳","")," ",""),"_男")," ",""),[6]データ貼り付けシート!$1:$2,2,FALSE)</f>
        <v>578</v>
      </c>
      <c r="C38" s="59">
        <f>HLOOKUP(SUBSTITUTE(CONCATENATE(SUBSTITUTE(SUBSTITUTE(A38,"歳","")," ",""),"_女")," ",""),[6]データ貼り付けシート!$1:$2,2,FALSE)</f>
        <v>532</v>
      </c>
      <c r="D38" s="59">
        <f>HLOOKUP(SUBSTITUTE(CONCATENATE(SUBSTITUTE(SUBSTITUTE(A38,"歳","")," ",""),"_全体")," ",""),[6]データ貼り付けシート!$1:$2,2,FALSE)</f>
        <v>1110</v>
      </c>
      <c r="E38" s="57"/>
    </row>
    <row r="39" spans="1:5" x14ac:dyDescent="0.4">
      <c r="A39" s="58" t="s">
        <v>40</v>
      </c>
      <c r="B39" s="59">
        <f>HLOOKUP(SUBSTITUTE(CONCATENATE(SUBSTITUTE(SUBSTITUTE(A39,"歳","")," ",""),"_男")," ",""),[6]データ貼り付けシート!$1:$2,2,FALSE)</f>
        <v>577</v>
      </c>
      <c r="C39" s="59">
        <f>HLOOKUP(SUBSTITUTE(CONCATENATE(SUBSTITUTE(SUBSTITUTE(A39,"歳","")," ",""),"_女")," ",""),[6]データ貼り付けシート!$1:$2,2,FALSE)</f>
        <v>568</v>
      </c>
      <c r="D39" s="59">
        <f>HLOOKUP(SUBSTITUTE(CONCATENATE(SUBSTITUTE(SUBSTITUTE(A39,"歳","")," ",""),"_全体")," ",""),[6]データ貼り付けシート!$1:$2,2,FALSE)</f>
        <v>1145</v>
      </c>
      <c r="E39" s="57"/>
    </row>
    <row r="40" spans="1:5" x14ac:dyDescent="0.4">
      <c r="A40" s="58" t="s">
        <v>41</v>
      </c>
      <c r="B40" s="59">
        <f>HLOOKUP(SUBSTITUTE(CONCATENATE(SUBSTITUTE(SUBSTITUTE(A40,"歳","")," ",""),"_男")," ",""),[6]データ貼り付けシート!$1:$2,2,FALSE)</f>
        <v>583</v>
      </c>
      <c r="C40" s="59">
        <f>HLOOKUP(SUBSTITUTE(CONCATENATE(SUBSTITUTE(SUBSTITUTE(A40,"歳","")," ",""),"_女")," ",""),[6]データ貼り付けシート!$1:$2,2,FALSE)</f>
        <v>534</v>
      </c>
      <c r="D40" s="59">
        <f>HLOOKUP(SUBSTITUTE(CONCATENATE(SUBSTITUTE(SUBSTITUTE(A40,"歳","")," ",""),"_全体")," ",""),[6]データ貼り付けシート!$1:$2,2,FALSE)</f>
        <v>1117</v>
      </c>
      <c r="E40" s="57"/>
    </row>
    <row r="41" spans="1:5" x14ac:dyDescent="0.4">
      <c r="A41" s="58" t="s">
        <v>42</v>
      </c>
      <c r="B41" s="59">
        <f>HLOOKUP(SUBSTITUTE(CONCATENATE(SUBSTITUTE(SUBSTITUTE(A41,"歳","")," ",""),"_男")," ",""),[6]データ貼り付けシート!$1:$2,2,FALSE)</f>
        <v>568</v>
      </c>
      <c r="C41" s="59">
        <f>HLOOKUP(SUBSTITUTE(CONCATENATE(SUBSTITUTE(SUBSTITUTE(A41,"歳","")," ",""),"_女")," ",""),[6]データ貼り付けシート!$1:$2,2,FALSE)</f>
        <v>529</v>
      </c>
      <c r="D41" s="59">
        <f>HLOOKUP(SUBSTITUTE(CONCATENATE(SUBSTITUTE(SUBSTITUTE(A41,"歳","")," ",""),"_全体")," ",""),[6]データ貼り付けシート!$1:$2,2,FALSE)</f>
        <v>1097</v>
      </c>
      <c r="E41" s="57"/>
    </row>
    <row r="42" spans="1:5" x14ac:dyDescent="0.4">
      <c r="A42" s="58" t="s">
        <v>43</v>
      </c>
      <c r="B42" s="59">
        <f>HLOOKUP(SUBSTITUTE(CONCATENATE(SUBSTITUTE(SUBSTITUTE(A42,"歳","")," ",""),"_男")," ",""),[6]データ貼り付けシート!$1:$2,2,FALSE)</f>
        <v>566</v>
      </c>
      <c r="C42" s="59">
        <f>HLOOKUP(SUBSTITUTE(CONCATENATE(SUBSTITUTE(SUBSTITUTE(A42,"歳","")," ",""),"_女")," ",""),[6]データ貼り付けシート!$1:$2,2,FALSE)</f>
        <v>554</v>
      </c>
      <c r="D42" s="59">
        <f>HLOOKUP(SUBSTITUTE(CONCATENATE(SUBSTITUTE(SUBSTITUTE(A42,"歳","")," ",""),"_全体")," ",""),[6]データ貼り付けシート!$1:$2,2,FALSE)</f>
        <v>1120</v>
      </c>
      <c r="E42" s="57"/>
    </row>
    <row r="43" spans="1:5" x14ac:dyDescent="0.4">
      <c r="A43" s="58" t="s">
        <v>44</v>
      </c>
      <c r="B43" s="59">
        <f>HLOOKUP(SUBSTITUTE(CONCATENATE(SUBSTITUTE(SUBSTITUTE(A43,"歳","")," ",""),"_男")," ",""),[6]データ貼り付けシート!$1:$2,2,FALSE)</f>
        <v>596</v>
      </c>
      <c r="C43" s="59">
        <f>HLOOKUP(SUBSTITUTE(CONCATENATE(SUBSTITUTE(SUBSTITUTE(A43,"歳","")," ",""),"_女")," ",""),[6]データ貼り付けシート!$1:$2,2,FALSE)</f>
        <v>557</v>
      </c>
      <c r="D43" s="59">
        <f>HLOOKUP(SUBSTITUTE(CONCATENATE(SUBSTITUTE(SUBSTITUTE(A43,"歳","")," ",""),"_全体")," ",""),[6]データ貼り付けシート!$1:$2,2,FALSE)</f>
        <v>1153</v>
      </c>
      <c r="E43" s="57"/>
    </row>
    <row r="44" spans="1:5" x14ac:dyDescent="0.4">
      <c r="A44" s="58" t="s">
        <v>45</v>
      </c>
      <c r="B44" s="59">
        <f>HLOOKUP(SUBSTITUTE(CONCATENATE(SUBSTITUTE(SUBSTITUTE(A44,"歳","")," ",""),"_男")," ",""),[6]データ貼り付けシート!$1:$2,2,FALSE)</f>
        <v>623</v>
      </c>
      <c r="C44" s="59">
        <f>HLOOKUP(SUBSTITUTE(CONCATENATE(SUBSTITUTE(SUBSTITUTE(A44,"歳","")," ",""),"_女")," ",""),[6]データ貼り付けシート!$1:$2,2,FALSE)</f>
        <v>600</v>
      </c>
      <c r="D44" s="59">
        <f>HLOOKUP(SUBSTITUTE(CONCATENATE(SUBSTITUTE(SUBSTITUTE(A44,"歳","")," ",""),"_全体")," ",""),[6]データ貼り付けシート!$1:$2,2,FALSE)</f>
        <v>1223</v>
      </c>
      <c r="E44" s="57"/>
    </row>
    <row r="45" spans="1:5" x14ac:dyDescent="0.4">
      <c r="A45" s="58" t="s">
        <v>46</v>
      </c>
      <c r="B45" s="59">
        <f>HLOOKUP(SUBSTITUTE(CONCATENATE(SUBSTITUTE(SUBSTITUTE(A45,"歳","")," ",""),"_男")," ",""),[6]データ貼り付けシート!$1:$2,2,FALSE)</f>
        <v>616</v>
      </c>
      <c r="C45" s="59">
        <f>HLOOKUP(SUBSTITUTE(CONCATENATE(SUBSTITUTE(SUBSTITUTE(A45,"歳","")," ",""),"_女")," ",""),[6]データ貼り付けシート!$1:$2,2,FALSE)</f>
        <v>572</v>
      </c>
      <c r="D45" s="59">
        <f>HLOOKUP(SUBSTITUTE(CONCATENATE(SUBSTITUTE(SUBSTITUTE(A45,"歳","")," ",""),"_全体")," ",""),[6]データ貼り付けシート!$1:$2,2,FALSE)</f>
        <v>1188</v>
      </c>
      <c r="E45" s="57"/>
    </row>
    <row r="46" spans="1:5" x14ac:dyDescent="0.4">
      <c r="A46" s="58" t="s">
        <v>47</v>
      </c>
      <c r="B46" s="59">
        <f>HLOOKUP(SUBSTITUTE(CONCATENATE(SUBSTITUTE(SUBSTITUTE(A46,"歳","")," ",""),"_男")," ",""),[6]データ貼り付けシート!$1:$2,2,FALSE)</f>
        <v>739</v>
      </c>
      <c r="C46" s="59">
        <f>HLOOKUP(SUBSTITUTE(CONCATENATE(SUBSTITUTE(SUBSTITUTE(A46,"歳","")," ",""),"_女")," ",""),[6]データ貼り付けシート!$1:$2,2,FALSE)</f>
        <v>655</v>
      </c>
      <c r="D46" s="59">
        <f>HLOOKUP(SUBSTITUTE(CONCATENATE(SUBSTITUTE(SUBSTITUTE(A46,"歳","")," ",""),"_全体")," ",""),[6]データ貼り付けシート!$1:$2,2,FALSE)</f>
        <v>1394</v>
      </c>
      <c r="E46" s="57"/>
    </row>
    <row r="47" spans="1:5" x14ac:dyDescent="0.4">
      <c r="A47" s="58" t="s">
        <v>48</v>
      </c>
      <c r="B47" s="59">
        <f>HLOOKUP(SUBSTITUTE(CONCATENATE(SUBSTITUTE(SUBSTITUTE(A47,"歳","")," ",""),"_男")," ",""),[6]データ貼り付けシート!$1:$2,2,FALSE)</f>
        <v>717</v>
      </c>
      <c r="C47" s="59">
        <f>HLOOKUP(SUBSTITUTE(CONCATENATE(SUBSTITUTE(SUBSTITUTE(A47,"歳","")," ",""),"_女")," ",""),[6]データ貼り付けシート!$1:$2,2,FALSE)</f>
        <v>695</v>
      </c>
      <c r="D47" s="59">
        <f>HLOOKUP(SUBSTITUTE(CONCATENATE(SUBSTITUTE(SUBSTITUTE(A47,"歳","")," ",""),"_全体")," ",""),[6]データ貼り付けシート!$1:$2,2,FALSE)</f>
        <v>1412</v>
      </c>
      <c r="E47" s="57"/>
    </row>
    <row r="48" spans="1:5" x14ac:dyDescent="0.4">
      <c r="A48" s="58" t="s">
        <v>49</v>
      </c>
      <c r="B48" s="59">
        <f>HLOOKUP(SUBSTITUTE(CONCATENATE(SUBSTITUTE(SUBSTITUTE(A48,"歳","")," ",""),"_男")," ",""),[6]データ貼り付けシート!$1:$2,2,FALSE)</f>
        <v>841</v>
      </c>
      <c r="C48" s="59">
        <f>HLOOKUP(SUBSTITUTE(CONCATENATE(SUBSTITUTE(SUBSTITUTE(A48,"歳","")," ",""),"_女")," ",""),[6]データ貼り付けシート!$1:$2,2,FALSE)</f>
        <v>726</v>
      </c>
      <c r="D48" s="59">
        <f>HLOOKUP(SUBSTITUTE(CONCATENATE(SUBSTITUTE(SUBSTITUTE(A48,"歳","")," ",""),"_全体")," ",""),[6]データ貼り付けシート!$1:$2,2,FALSE)</f>
        <v>1567</v>
      </c>
      <c r="E48" s="57"/>
    </row>
    <row r="49" spans="1:5" x14ac:dyDescent="0.4">
      <c r="A49" s="58" t="s">
        <v>50</v>
      </c>
      <c r="B49" s="59">
        <f>HLOOKUP(SUBSTITUTE(CONCATENATE(SUBSTITUTE(SUBSTITUTE(A49,"歳","")," ",""),"_男")," ",""),[6]データ貼り付けシート!$1:$2,2,FALSE)</f>
        <v>889</v>
      </c>
      <c r="C49" s="59">
        <f>HLOOKUP(SUBSTITUTE(CONCATENATE(SUBSTITUTE(SUBSTITUTE(A49,"歳","")," ",""),"_女")," ",""),[6]データ貼り付けシート!$1:$2,2,FALSE)</f>
        <v>781</v>
      </c>
      <c r="D49" s="59">
        <f>HLOOKUP(SUBSTITUTE(CONCATENATE(SUBSTITUTE(SUBSTITUTE(A49,"歳","")," ",""),"_全体")," ",""),[6]データ貼り付けシート!$1:$2,2,FALSE)</f>
        <v>1670</v>
      </c>
      <c r="E49" s="57"/>
    </row>
    <row r="50" spans="1:5" x14ac:dyDescent="0.4">
      <c r="A50" s="58" t="s">
        <v>51</v>
      </c>
      <c r="B50" s="59">
        <f>HLOOKUP(SUBSTITUTE(CONCATENATE(SUBSTITUTE(SUBSTITUTE(A50,"歳","")," ",""),"_男")," ",""),[6]データ貼り付けシート!$1:$2,2,FALSE)</f>
        <v>803</v>
      </c>
      <c r="C50" s="59">
        <f>HLOOKUP(SUBSTITUTE(CONCATENATE(SUBSTITUTE(SUBSTITUTE(A50,"歳","")," ",""),"_女")," ",""),[6]データ貼り付けシート!$1:$2,2,FALSE)</f>
        <v>756</v>
      </c>
      <c r="D50" s="59">
        <f>HLOOKUP(SUBSTITUTE(CONCATENATE(SUBSTITUTE(SUBSTITUTE(A50,"歳","")," ",""),"_全体")," ",""),[6]データ貼り付けシート!$1:$2,2,FALSE)</f>
        <v>1559</v>
      </c>
      <c r="E50" s="57"/>
    </row>
    <row r="51" spans="1:5" x14ac:dyDescent="0.4">
      <c r="A51" s="58" t="s">
        <v>52</v>
      </c>
      <c r="B51" s="59">
        <f>HLOOKUP(SUBSTITUTE(CONCATENATE(SUBSTITUTE(SUBSTITUTE(A51,"歳","")," ",""),"_男")," ",""),[6]データ貼り付けシート!$1:$2,2,FALSE)</f>
        <v>756</v>
      </c>
      <c r="C51" s="59">
        <f>HLOOKUP(SUBSTITUTE(CONCATENATE(SUBSTITUTE(SUBSTITUTE(A51,"歳","")," ",""),"_女")," ",""),[6]データ貼り付けシート!$1:$2,2,FALSE)</f>
        <v>705</v>
      </c>
      <c r="D51" s="59">
        <f>HLOOKUP(SUBSTITUTE(CONCATENATE(SUBSTITUTE(SUBSTITUTE(A51,"歳","")," ",""),"_全体")," ",""),[6]データ貼り付けシート!$1:$2,2,FALSE)</f>
        <v>1461</v>
      </c>
      <c r="E51" s="57"/>
    </row>
    <row r="52" spans="1:5" x14ac:dyDescent="0.4">
      <c r="A52" s="58" t="s">
        <v>53</v>
      </c>
      <c r="B52" s="59">
        <f>HLOOKUP(SUBSTITUTE(CONCATENATE(SUBSTITUTE(SUBSTITUTE(A52,"歳","")," ",""),"_男")," ",""),[6]データ貼り付けシート!$1:$2,2,FALSE)</f>
        <v>740</v>
      </c>
      <c r="C52" s="59">
        <f>HLOOKUP(SUBSTITUTE(CONCATENATE(SUBSTITUTE(SUBSTITUTE(A52,"歳","")," ",""),"_女")," ",""),[6]データ貼り付けシート!$1:$2,2,FALSE)</f>
        <v>663</v>
      </c>
      <c r="D52" s="59">
        <f>HLOOKUP(SUBSTITUTE(CONCATENATE(SUBSTITUTE(SUBSTITUTE(A52,"歳","")," ",""),"_全体")," ",""),[6]データ貼り付けシート!$1:$2,2,FALSE)</f>
        <v>1403</v>
      </c>
      <c r="E52" s="57"/>
    </row>
    <row r="53" spans="1:5" x14ac:dyDescent="0.4">
      <c r="A53" s="58" t="s">
        <v>54</v>
      </c>
      <c r="B53" s="59">
        <f>HLOOKUP(SUBSTITUTE(CONCATENATE(SUBSTITUTE(SUBSTITUTE(A53,"歳","")," ",""),"_男")," ",""),[6]データ貼り付けシート!$1:$2,2,FALSE)</f>
        <v>687</v>
      </c>
      <c r="C53" s="59">
        <f>HLOOKUP(SUBSTITUTE(CONCATENATE(SUBSTITUTE(SUBSTITUTE(A53,"歳","")," ",""),"_女")," ",""),[6]データ貼り付けシート!$1:$2,2,FALSE)</f>
        <v>616</v>
      </c>
      <c r="D53" s="59">
        <f>HLOOKUP(SUBSTITUTE(CONCATENATE(SUBSTITUTE(SUBSTITUTE(A53,"歳","")," ",""),"_全体")," ",""),[6]データ貼り付けシート!$1:$2,2,FALSE)</f>
        <v>1303</v>
      </c>
      <c r="E53" s="57"/>
    </row>
    <row r="54" spans="1:5" x14ac:dyDescent="0.4">
      <c r="A54" s="58" t="s">
        <v>55</v>
      </c>
      <c r="B54" s="59">
        <f>HLOOKUP(SUBSTITUTE(CONCATENATE(SUBSTITUTE(SUBSTITUTE(A54,"歳","")," ",""),"_男")," ",""),[6]データ貼り付けシート!$1:$2,2,FALSE)</f>
        <v>678</v>
      </c>
      <c r="C54" s="59">
        <f>HLOOKUP(SUBSTITUTE(CONCATENATE(SUBSTITUTE(SUBSTITUTE(A54,"歳","")," ",""),"_女")," ",""),[6]データ貼り付けシート!$1:$2,2,FALSE)</f>
        <v>612</v>
      </c>
      <c r="D54" s="59">
        <f>HLOOKUP(SUBSTITUTE(CONCATENATE(SUBSTITUTE(SUBSTITUTE(A54,"歳","")," ",""),"_全体")," ",""),[6]データ貼り付けシート!$1:$2,2,FALSE)</f>
        <v>1290</v>
      </c>
      <c r="E54" s="57"/>
    </row>
    <row r="55" spans="1:5" x14ac:dyDescent="0.4">
      <c r="A55" s="58" t="s">
        <v>56</v>
      </c>
      <c r="B55" s="59">
        <f>HLOOKUP(SUBSTITUTE(CONCATENATE(SUBSTITUTE(SUBSTITUTE(A55,"歳","")," ",""),"_男")," ",""),[6]データ貼り付けシート!$1:$2,2,FALSE)</f>
        <v>633</v>
      </c>
      <c r="C55" s="59">
        <f>HLOOKUP(SUBSTITUTE(CONCATENATE(SUBSTITUTE(SUBSTITUTE(A55,"歳","")," ",""),"_女")," ",""),[6]データ貼り付けシート!$1:$2,2,FALSE)</f>
        <v>521</v>
      </c>
      <c r="D55" s="59">
        <f>HLOOKUP(SUBSTITUTE(CONCATENATE(SUBSTITUTE(SUBSTITUTE(A55,"歳","")," ",""),"_全体")," ",""),[6]データ貼り付けシート!$1:$2,2,FALSE)</f>
        <v>1154</v>
      </c>
      <c r="E55" s="57"/>
    </row>
    <row r="56" spans="1:5" x14ac:dyDescent="0.4">
      <c r="A56" s="58" t="s">
        <v>57</v>
      </c>
      <c r="B56" s="59">
        <f>HLOOKUP(SUBSTITUTE(CONCATENATE(SUBSTITUTE(SUBSTITUTE(A56,"歳","")," ",""),"_男")," ",""),[6]データ貼り付けシート!$1:$2,2,FALSE)</f>
        <v>545</v>
      </c>
      <c r="C56" s="59">
        <f>HLOOKUP(SUBSTITUTE(CONCATENATE(SUBSTITUTE(SUBSTITUTE(A56,"歳","")," ",""),"_女")," ",""),[6]データ貼り付けシート!$1:$2,2,FALSE)</f>
        <v>442</v>
      </c>
      <c r="D56" s="59">
        <f>HLOOKUP(SUBSTITUTE(CONCATENATE(SUBSTITUTE(SUBSTITUTE(A56,"歳","")," ",""),"_全体")," ",""),[6]データ貼り付けシート!$1:$2,2,FALSE)</f>
        <v>987</v>
      </c>
      <c r="E56" s="57"/>
    </row>
    <row r="57" spans="1:5" x14ac:dyDescent="0.4">
      <c r="A57" s="58" t="s">
        <v>58</v>
      </c>
      <c r="B57" s="59">
        <f>HLOOKUP(SUBSTITUTE(CONCATENATE(SUBSTITUTE(SUBSTITUTE(A57,"歳","")," ",""),"_男")," ",""),[6]データ貼り付けシート!$1:$2,2,FALSE)</f>
        <v>523</v>
      </c>
      <c r="C57" s="59">
        <f>HLOOKUP(SUBSTITUTE(CONCATENATE(SUBSTITUTE(SUBSTITUTE(A57,"歳","")," ",""),"_女")," ",""),[6]データ貼り付けシート!$1:$2,2,FALSE)</f>
        <v>522</v>
      </c>
      <c r="D57" s="59">
        <f>HLOOKUP(SUBSTITUTE(CONCATENATE(SUBSTITUTE(SUBSTITUTE(A57,"歳","")," ",""),"_全体")," ",""),[6]データ貼り付けシート!$1:$2,2,FALSE)</f>
        <v>1045</v>
      </c>
      <c r="E57" s="57"/>
    </row>
    <row r="58" spans="1:5" x14ac:dyDescent="0.4">
      <c r="A58" s="58" t="s">
        <v>59</v>
      </c>
      <c r="B58" s="59">
        <f>HLOOKUP(SUBSTITUTE(CONCATENATE(SUBSTITUTE(SUBSTITUTE(A58,"歳","")," ",""),"_男")," ",""),[6]データ貼り付けシート!$1:$2,2,FALSE)</f>
        <v>489</v>
      </c>
      <c r="C58" s="59">
        <f>HLOOKUP(SUBSTITUTE(CONCATENATE(SUBSTITUTE(SUBSTITUTE(A58,"歳","")," ",""),"_女")," ",""),[6]データ貼り付けシート!$1:$2,2,FALSE)</f>
        <v>476</v>
      </c>
      <c r="D58" s="59">
        <f>HLOOKUP(SUBSTITUTE(CONCATENATE(SUBSTITUTE(SUBSTITUTE(A58,"歳","")," ",""),"_全体")," ",""),[6]データ貼り付けシート!$1:$2,2,FALSE)</f>
        <v>965</v>
      </c>
      <c r="E58" s="57"/>
    </row>
    <row r="59" spans="1:5" x14ac:dyDescent="0.4">
      <c r="A59" s="58" t="s">
        <v>60</v>
      </c>
      <c r="B59" s="59">
        <f>HLOOKUP(SUBSTITUTE(CONCATENATE(SUBSTITUTE(SUBSTITUTE(A59,"歳","")," ",""),"_男")," ",""),[6]データ貼り付けシート!$1:$2,2,FALSE)</f>
        <v>493</v>
      </c>
      <c r="C59" s="59">
        <f>HLOOKUP(SUBSTITUTE(CONCATENATE(SUBSTITUTE(SUBSTITUTE(A59,"歳","")," ",""),"_女")," ",""),[6]データ貼り付けシート!$1:$2,2,FALSE)</f>
        <v>442</v>
      </c>
      <c r="D59" s="59">
        <f>HLOOKUP(SUBSTITUTE(CONCATENATE(SUBSTITUTE(SUBSTITUTE(A59,"歳","")," ",""),"_全体")," ",""),[6]データ貼り付けシート!$1:$2,2,FALSE)</f>
        <v>935</v>
      </c>
      <c r="E59" s="57"/>
    </row>
    <row r="60" spans="1:5" x14ac:dyDescent="0.4">
      <c r="A60" s="58" t="s">
        <v>61</v>
      </c>
      <c r="B60" s="59">
        <f>HLOOKUP(SUBSTITUTE(CONCATENATE(SUBSTITUTE(SUBSTITUTE(A60,"歳","")," ",""),"_男")," ",""),[6]データ貼り付けシート!$1:$2,2,FALSE)</f>
        <v>463</v>
      </c>
      <c r="C60" s="59">
        <f>HLOOKUP(SUBSTITUTE(CONCATENATE(SUBSTITUTE(SUBSTITUTE(A60,"歳","")," ",""),"_女")," ",""),[6]データ貼り付けシート!$1:$2,2,FALSE)</f>
        <v>421</v>
      </c>
      <c r="D60" s="59">
        <f>HLOOKUP(SUBSTITUTE(CONCATENATE(SUBSTITUTE(SUBSTITUTE(A60,"歳","")," ",""),"_全体")," ",""),[6]データ貼り付けシート!$1:$2,2,FALSE)</f>
        <v>884</v>
      </c>
      <c r="E60" s="57"/>
    </row>
    <row r="61" spans="1:5" x14ac:dyDescent="0.4">
      <c r="A61" s="58" t="s">
        <v>62</v>
      </c>
      <c r="B61" s="59">
        <f>HLOOKUP(SUBSTITUTE(CONCATENATE(SUBSTITUTE(SUBSTITUTE(A61,"歳","")," ",""),"_男")," ",""),[6]データ貼り付けシート!$1:$2,2,FALSE)</f>
        <v>419</v>
      </c>
      <c r="C61" s="59">
        <f>HLOOKUP(SUBSTITUTE(CONCATENATE(SUBSTITUTE(SUBSTITUTE(A61,"歳","")," ",""),"_女")," ",""),[6]データ貼り付けシート!$1:$2,2,FALSE)</f>
        <v>405</v>
      </c>
      <c r="D61" s="59">
        <f>HLOOKUP(SUBSTITUTE(CONCATENATE(SUBSTITUTE(SUBSTITUTE(A61,"歳","")," ",""),"_全体")," ",""),[6]データ貼り付けシート!$1:$2,2,FALSE)</f>
        <v>824</v>
      </c>
      <c r="E61" s="57"/>
    </row>
    <row r="62" spans="1:5" x14ac:dyDescent="0.4">
      <c r="A62" s="58" t="s">
        <v>63</v>
      </c>
      <c r="B62" s="59">
        <f>HLOOKUP(SUBSTITUTE(CONCATENATE(SUBSTITUTE(SUBSTITUTE(A62,"歳","")," ",""),"_男")," ",""),[6]データ貼り付けシート!$1:$2,2,FALSE)</f>
        <v>417</v>
      </c>
      <c r="C62" s="59">
        <f>HLOOKUP(SUBSTITUTE(CONCATENATE(SUBSTITUTE(SUBSTITUTE(A62,"歳","")," ",""),"_女")," ",""),[6]データ貼り付けシート!$1:$2,2,FALSE)</f>
        <v>405</v>
      </c>
      <c r="D62" s="59">
        <f>HLOOKUP(SUBSTITUTE(CONCATENATE(SUBSTITUTE(SUBSTITUTE(A62,"歳","")," ",""),"_全体")," ",""),[6]データ貼り付けシート!$1:$2,2,FALSE)</f>
        <v>822</v>
      </c>
      <c r="E62" s="57"/>
    </row>
    <row r="63" spans="1:5" x14ac:dyDescent="0.4">
      <c r="A63" s="58" t="s">
        <v>64</v>
      </c>
      <c r="B63" s="59">
        <f>HLOOKUP(SUBSTITUTE(CONCATENATE(SUBSTITUTE(SUBSTITUTE(A63,"歳","")," ",""),"_男")," ",""),[6]データ貼り付けシート!$1:$2,2,FALSE)</f>
        <v>445</v>
      </c>
      <c r="C63" s="59">
        <f>HLOOKUP(SUBSTITUTE(CONCATENATE(SUBSTITUTE(SUBSTITUTE(A63,"歳","")," ",""),"_女")," ",""),[6]データ貼り付けシート!$1:$2,2,FALSE)</f>
        <v>402</v>
      </c>
      <c r="D63" s="59">
        <f>HLOOKUP(SUBSTITUTE(CONCATENATE(SUBSTITUTE(SUBSTITUTE(A63,"歳","")," ",""),"_全体")," ",""),[6]データ貼り付けシート!$1:$2,2,FALSE)</f>
        <v>847</v>
      </c>
      <c r="E63" s="57"/>
    </row>
    <row r="64" spans="1:5" x14ac:dyDescent="0.4">
      <c r="A64" s="58" t="s">
        <v>65</v>
      </c>
      <c r="B64" s="59">
        <f>HLOOKUP(SUBSTITUTE(CONCATENATE(SUBSTITUTE(SUBSTITUTE(A64,"歳","")," ",""),"_男")," ",""),[6]データ貼り付けシート!$1:$2,2,FALSE)</f>
        <v>399</v>
      </c>
      <c r="C64" s="59">
        <f>HLOOKUP(SUBSTITUTE(CONCATENATE(SUBSTITUTE(SUBSTITUTE(A64,"歳","")," ",""),"_女")," ",""),[6]データ貼り付けシート!$1:$2,2,FALSE)</f>
        <v>402</v>
      </c>
      <c r="D64" s="59">
        <f>HLOOKUP(SUBSTITUTE(CONCATENATE(SUBSTITUTE(SUBSTITUTE(A64,"歳","")," ",""),"_全体")," ",""),[6]データ貼り付けシート!$1:$2,2,FALSE)</f>
        <v>801</v>
      </c>
      <c r="E64" s="57"/>
    </row>
    <row r="65" spans="1:5" x14ac:dyDescent="0.4">
      <c r="A65" s="58" t="s">
        <v>66</v>
      </c>
      <c r="B65" s="59">
        <f>HLOOKUP(SUBSTITUTE(CONCATENATE(SUBSTITUTE(SUBSTITUTE(A65,"歳","")," ",""),"_男")," ",""),[6]データ貼り付けシート!$1:$2,2,FALSE)</f>
        <v>412</v>
      </c>
      <c r="C65" s="59">
        <f>HLOOKUP(SUBSTITUTE(CONCATENATE(SUBSTITUTE(SUBSTITUTE(A65,"歳","")," ",""),"_女")," ",""),[6]データ貼り付けシート!$1:$2,2,FALSE)</f>
        <v>406</v>
      </c>
      <c r="D65" s="59">
        <f>HLOOKUP(SUBSTITUTE(CONCATENATE(SUBSTITUTE(SUBSTITUTE(A65,"歳","")," ",""),"_全体")," ",""),[6]データ貼り付けシート!$1:$2,2,FALSE)</f>
        <v>818</v>
      </c>
      <c r="E65" s="57"/>
    </row>
    <row r="66" spans="1:5" x14ac:dyDescent="0.4">
      <c r="A66" s="58" t="s">
        <v>67</v>
      </c>
      <c r="B66" s="59">
        <f>HLOOKUP(SUBSTITUTE(CONCATENATE(SUBSTITUTE(SUBSTITUTE(A66,"歳","")," ",""),"_男")," ",""),[6]データ貼り付けシート!$1:$2,2,FALSE)</f>
        <v>408</v>
      </c>
      <c r="C66" s="59">
        <f>HLOOKUP(SUBSTITUTE(CONCATENATE(SUBSTITUTE(SUBSTITUTE(A66,"歳","")," ",""),"_女")," ",""),[6]データ貼り付けシート!$1:$2,2,FALSE)</f>
        <v>423</v>
      </c>
      <c r="D66" s="59">
        <f>HLOOKUP(SUBSTITUTE(CONCATENATE(SUBSTITUTE(SUBSTITUTE(A66,"歳","")," ",""),"_全体")," ",""),[6]データ貼り付けシート!$1:$2,2,FALSE)</f>
        <v>831</v>
      </c>
      <c r="E66" s="57"/>
    </row>
    <row r="67" spans="1:5" x14ac:dyDescent="0.4">
      <c r="A67" s="58" t="s">
        <v>68</v>
      </c>
      <c r="B67" s="59">
        <f>HLOOKUP(SUBSTITUTE(CONCATENATE(SUBSTITUTE(SUBSTITUTE(A67,"歳","")," ",""),"_男")," ",""),[6]データ貼り付けシート!$1:$2,2,FALSE)</f>
        <v>451</v>
      </c>
      <c r="C67" s="59">
        <f>HLOOKUP(SUBSTITUTE(CONCATENATE(SUBSTITUTE(SUBSTITUTE(A67,"歳","")," ",""),"_女")," ",""),[6]データ貼り付けシート!$1:$2,2,FALSE)</f>
        <v>460</v>
      </c>
      <c r="D67" s="59">
        <f>HLOOKUP(SUBSTITUTE(CONCATENATE(SUBSTITUTE(SUBSTITUTE(A67,"歳","")," ",""),"_全体")," ",""),[6]データ貼り付けシート!$1:$2,2,FALSE)</f>
        <v>911</v>
      </c>
      <c r="E67" s="57"/>
    </row>
    <row r="68" spans="1:5" x14ac:dyDescent="0.4">
      <c r="A68" s="58" t="s">
        <v>69</v>
      </c>
      <c r="B68" s="59">
        <f>HLOOKUP(SUBSTITUTE(CONCATENATE(SUBSTITUTE(SUBSTITUTE(A68,"歳","")," ",""),"_男")," ",""),[6]データ貼り付けシート!$1:$2,2,FALSE)</f>
        <v>401</v>
      </c>
      <c r="C68" s="59">
        <f>HLOOKUP(SUBSTITUTE(CONCATENATE(SUBSTITUTE(SUBSTITUTE(A68,"歳","")," ",""),"_女")," ",""),[6]データ貼り付けシート!$1:$2,2,FALSE)</f>
        <v>458</v>
      </c>
      <c r="D68" s="59">
        <f>HLOOKUP(SUBSTITUTE(CONCATENATE(SUBSTITUTE(SUBSTITUTE(A68,"歳","")," ",""),"_全体")," ",""),[6]データ貼り付けシート!$1:$2,2,FALSE)</f>
        <v>859</v>
      </c>
      <c r="E68" s="57"/>
    </row>
    <row r="69" spans="1:5" x14ac:dyDescent="0.4">
      <c r="A69" s="58" t="s">
        <v>70</v>
      </c>
      <c r="B69" s="59">
        <f>HLOOKUP(SUBSTITUTE(CONCATENATE(SUBSTITUTE(SUBSTITUTE(A69,"歳","")," ",""),"_男")," ",""),[6]データ貼り付けシート!$1:$2,2,FALSE)</f>
        <v>435</v>
      </c>
      <c r="C69" s="59">
        <f>HLOOKUP(SUBSTITUTE(CONCATENATE(SUBSTITUTE(SUBSTITUTE(A69,"歳","")," ",""),"_女")," ",""),[6]データ貼り付けシート!$1:$2,2,FALSE)</f>
        <v>493</v>
      </c>
      <c r="D69" s="59">
        <f>HLOOKUP(SUBSTITUTE(CONCATENATE(SUBSTITUTE(SUBSTITUTE(A69,"歳","")," ",""),"_全体")," ",""),[6]データ貼り付けシート!$1:$2,2,FALSE)</f>
        <v>928</v>
      </c>
      <c r="E69" s="57"/>
    </row>
    <row r="70" spans="1:5" x14ac:dyDescent="0.4">
      <c r="A70" s="58" t="s">
        <v>71</v>
      </c>
      <c r="B70" s="59">
        <f>HLOOKUP(SUBSTITUTE(CONCATENATE(SUBSTITUTE(SUBSTITUTE(A70,"歳","")," ",""),"_男")," ",""),[6]データ貼り付けシート!$1:$2,2,FALSE)</f>
        <v>502</v>
      </c>
      <c r="C70" s="59">
        <f>HLOOKUP(SUBSTITUTE(CONCATENATE(SUBSTITUTE(SUBSTITUTE(A70,"歳","")," ",""),"_女")," ",""),[6]データ貼り付けシート!$1:$2,2,FALSE)</f>
        <v>555</v>
      </c>
      <c r="D70" s="59">
        <f>HLOOKUP(SUBSTITUTE(CONCATENATE(SUBSTITUTE(SUBSTITUTE(A70,"歳","")," ",""),"_全体")," ",""),[6]データ貼り付けシート!$1:$2,2,FALSE)</f>
        <v>1057</v>
      </c>
      <c r="E70" s="57"/>
    </row>
    <row r="71" spans="1:5" x14ac:dyDescent="0.4">
      <c r="A71" s="58" t="s">
        <v>72</v>
      </c>
      <c r="B71" s="59">
        <f>HLOOKUP(SUBSTITUTE(CONCATENATE(SUBSTITUTE(SUBSTITUTE(A71,"歳","")," ",""),"_男")," ",""),[6]データ貼り付けシート!$1:$2,2,FALSE)</f>
        <v>558</v>
      </c>
      <c r="C71" s="59">
        <f>HLOOKUP(SUBSTITUTE(CONCATENATE(SUBSTITUTE(SUBSTITUTE(A71,"歳","")," ",""),"_女")," ",""),[6]データ貼り付けシート!$1:$2,2,FALSE)</f>
        <v>593</v>
      </c>
      <c r="D71" s="59">
        <f>HLOOKUP(SUBSTITUTE(CONCATENATE(SUBSTITUTE(SUBSTITUTE(A71,"歳","")," ",""),"_全体")," ",""),[6]データ貼り付けシート!$1:$2,2,FALSE)</f>
        <v>1151</v>
      </c>
      <c r="E71" s="57"/>
    </row>
    <row r="72" spans="1:5" x14ac:dyDescent="0.4">
      <c r="A72" s="58" t="s">
        <v>73</v>
      </c>
      <c r="B72" s="59">
        <f>HLOOKUP(SUBSTITUTE(CONCATENATE(SUBSTITUTE(SUBSTITUTE(A72,"歳","")," ",""),"_男")," ",""),[6]データ貼り付けシート!$1:$2,2,FALSE)</f>
        <v>622</v>
      </c>
      <c r="C72" s="59">
        <f>HLOOKUP(SUBSTITUTE(CONCATENATE(SUBSTITUTE(SUBSTITUTE(A72,"歳","")," ",""),"_女")," ",""),[6]データ貼り付けシート!$1:$2,2,FALSE)</f>
        <v>704</v>
      </c>
      <c r="D72" s="59">
        <f>HLOOKUP(SUBSTITUTE(CONCATENATE(SUBSTITUTE(SUBSTITUTE(A72,"歳","")," ",""),"_全体")," ",""),[6]データ貼り付けシート!$1:$2,2,FALSE)</f>
        <v>1326</v>
      </c>
      <c r="E72" s="57"/>
    </row>
    <row r="73" spans="1:5" x14ac:dyDescent="0.4">
      <c r="A73" s="58" t="s">
        <v>74</v>
      </c>
      <c r="B73" s="59">
        <f>HLOOKUP(SUBSTITUTE(CONCATENATE(SUBSTITUTE(SUBSTITUTE(A73,"歳","")," ",""),"_男")," ",""),[6]データ貼り付けシート!$1:$2,2,FALSE)</f>
        <v>632</v>
      </c>
      <c r="C73" s="59">
        <f>HLOOKUP(SUBSTITUTE(CONCATENATE(SUBSTITUTE(SUBSTITUTE(A73,"歳","")," ",""),"_女")," ",""),[6]データ貼り付けシート!$1:$2,2,FALSE)</f>
        <v>778</v>
      </c>
      <c r="D73" s="59">
        <f>HLOOKUP(SUBSTITUTE(CONCATENATE(SUBSTITUTE(SUBSTITUTE(A73,"歳","")," ",""),"_全体")," ",""),[6]データ貼り付けシート!$1:$2,2,FALSE)</f>
        <v>1410</v>
      </c>
      <c r="E73" s="57"/>
    </row>
    <row r="74" spans="1:5" x14ac:dyDescent="0.4">
      <c r="A74" s="58" t="s">
        <v>75</v>
      </c>
      <c r="B74" s="59">
        <f>HLOOKUP(SUBSTITUTE(CONCATENATE(SUBSTITUTE(SUBSTITUTE(A74,"歳","")," ",""),"_男")," ",""),[6]データ貼り付けシート!$1:$2,2,FALSE)</f>
        <v>704</v>
      </c>
      <c r="C74" s="59">
        <f>HLOOKUP(SUBSTITUTE(CONCATENATE(SUBSTITUTE(SUBSTITUTE(A74,"歳","")," ",""),"_女")," ",""),[6]データ貼り付けシート!$1:$2,2,FALSE)</f>
        <v>780</v>
      </c>
      <c r="D74" s="59">
        <f>HLOOKUP(SUBSTITUTE(CONCATENATE(SUBSTITUTE(SUBSTITUTE(A74,"歳","")," ",""),"_全体")," ",""),[6]データ貼り付けシート!$1:$2,2,FALSE)</f>
        <v>1484</v>
      </c>
      <c r="E74" s="57"/>
    </row>
    <row r="75" spans="1:5" x14ac:dyDescent="0.4">
      <c r="A75" s="58" t="s">
        <v>76</v>
      </c>
      <c r="B75" s="59">
        <f>HLOOKUP(SUBSTITUTE(CONCATENATE(SUBSTITUTE(SUBSTITUTE(A75,"歳","")," ",""),"_男")," ",""),[6]データ貼り付けシート!$1:$2,2,FALSE)</f>
        <v>591</v>
      </c>
      <c r="C75" s="59">
        <f>HLOOKUP(SUBSTITUTE(CONCATENATE(SUBSTITUTE(SUBSTITUTE(A75,"歳","")," ",""),"_女")," ",""),[6]データ貼り付けシート!$1:$2,2,FALSE)</f>
        <v>672</v>
      </c>
      <c r="D75" s="59">
        <f>HLOOKUP(SUBSTITUTE(CONCATENATE(SUBSTITUTE(SUBSTITUTE(A75,"歳","")," ",""),"_全体")," ",""),[6]データ貼り付けシート!$1:$2,2,FALSE)</f>
        <v>1263</v>
      </c>
      <c r="E75" s="57"/>
    </row>
    <row r="76" spans="1:5" x14ac:dyDescent="0.4">
      <c r="A76" s="58" t="s">
        <v>77</v>
      </c>
      <c r="B76" s="59">
        <f>HLOOKUP(SUBSTITUTE(CONCATENATE(SUBSTITUTE(SUBSTITUTE(A76,"歳","")," ",""),"_男")," ",""),[6]データ貼り付けシート!$1:$2,2,FALSE)</f>
        <v>347</v>
      </c>
      <c r="C76" s="59">
        <f>HLOOKUP(SUBSTITUTE(CONCATENATE(SUBSTITUTE(SUBSTITUTE(A76,"歳","")," ",""),"_女")," ",""),[6]データ貼り付けシート!$1:$2,2,FALSE)</f>
        <v>429</v>
      </c>
      <c r="D76" s="59">
        <f>HLOOKUP(SUBSTITUTE(CONCATENATE(SUBSTITUTE(SUBSTITUTE(A76,"歳","")," ",""),"_全体")," ",""),[6]データ貼り付けシート!$1:$2,2,FALSE)</f>
        <v>776</v>
      </c>
      <c r="E76" s="57"/>
    </row>
    <row r="77" spans="1:5" x14ac:dyDescent="0.4">
      <c r="A77" s="58" t="s">
        <v>78</v>
      </c>
      <c r="B77" s="59">
        <f>HLOOKUP(SUBSTITUTE(CONCATENATE(SUBSTITUTE(SUBSTITUTE(A77,"歳","")," ",""),"_男")," ",""),[6]データ貼り付けシート!$1:$2,2,FALSE)</f>
        <v>440</v>
      </c>
      <c r="C77" s="59">
        <f>HLOOKUP(SUBSTITUTE(CONCATENATE(SUBSTITUTE(SUBSTITUTE(A77,"歳","")," ",""),"_女")," ",""),[6]データ貼り付けシート!$1:$2,2,FALSE)</f>
        <v>548</v>
      </c>
      <c r="D77" s="59">
        <f>HLOOKUP(SUBSTITUTE(CONCATENATE(SUBSTITUTE(SUBSTITUTE(A77,"歳","")," ",""),"_全体")," ",""),[6]データ貼り付けシート!$1:$2,2,FALSE)</f>
        <v>988</v>
      </c>
      <c r="E77" s="57"/>
    </row>
    <row r="78" spans="1:5" x14ac:dyDescent="0.4">
      <c r="A78" s="58" t="s">
        <v>79</v>
      </c>
      <c r="B78" s="59">
        <f>HLOOKUP(SUBSTITUTE(CONCATENATE(SUBSTITUTE(SUBSTITUTE(A78,"歳","")," ",""),"_男")," ",""),[6]データ貼り付けシート!$1:$2,2,FALSE)</f>
        <v>534</v>
      </c>
      <c r="C78" s="59">
        <f>HLOOKUP(SUBSTITUTE(CONCATENATE(SUBSTITUTE(SUBSTITUTE(A78,"歳","")," ",""),"_女")," ",""),[6]データ貼り付けシート!$1:$2,2,FALSE)</f>
        <v>591</v>
      </c>
      <c r="D78" s="59">
        <f>HLOOKUP(SUBSTITUTE(CONCATENATE(SUBSTITUTE(SUBSTITUTE(A78,"歳","")," ",""),"_全体")," ",""),[6]データ貼り付けシート!$1:$2,2,FALSE)</f>
        <v>1125</v>
      </c>
      <c r="E78" s="57"/>
    </row>
    <row r="79" spans="1:5" x14ac:dyDescent="0.4">
      <c r="A79" s="58" t="s">
        <v>80</v>
      </c>
      <c r="B79" s="59">
        <f>HLOOKUP(SUBSTITUTE(CONCATENATE(SUBSTITUTE(SUBSTITUTE(A79,"歳","")," ",""),"_男")," ",""),[6]データ貼り付けシート!$1:$2,2,FALSE)</f>
        <v>460</v>
      </c>
      <c r="C79" s="59">
        <f>HLOOKUP(SUBSTITUTE(CONCATENATE(SUBSTITUTE(SUBSTITUTE(A79,"歳","")," ",""),"_女")," ",""),[6]データ貼り付けシート!$1:$2,2,FALSE)</f>
        <v>651</v>
      </c>
      <c r="D79" s="59">
        <f>HLOOKUP(SUBSTITUTE(CONCATENATE(SUBSTITUTE(SUBSTITUTE(A79,"歳","")," ",""),"_全体")," ",""),[6]データ貼り付けシート!$1:$2,2,FALSE)</f>
        <v>1111</v>
      </c>
      <c r="E79" s="57"/>
    </row>
    <row r="80" spans="1:5" x14ac:dyDescent="0.4">
      <c r="A80" s="58" t="s">
        <v>81</v>
      </c>
      <c r="B80" s="59">
        <f>HLOOKUP(SUBSTITUTE(CONCATENATE(SUBSTITUTE(SUBSTITUTE(A80,"歳","")," ",""),"_男")," ",""),[6]データ貼り付けシート!$1:$2,2,FALSE)</f>
        <v>542</v>
      </c>
      <c r="C80" s="59">
        <f>HLOOKUP(SUBSTITUTE(CONCATENATE(SUBSTITUTE(SUBSTITUTE(A80,"歳","")," ",""),"_女")," ",""),[6]データ貼り付けシート!$1:$2,2,FALSE)</f>
        <v>613</v>
      </c>
      <c r="D80" s="59">
        <f>HLOOKUP(SUBSTITUTE(CONCATENATE(SUBSTITUTE(SUBSTITUTE(A80,"歳","")," ",""),"_全体")," ",""),[6]データ貼り付けシート!$1:$2,2,FALSE)</f>
        <v>1155</v>
      </c>
      <c r="E80" s="57"/>
    </row>
    <row r="81" spans="1:5" x14ac:dyDescent="0.4">
      <c r="A81" s="58" t="s">
        <v>82</v>
      </c>
      <c r="B81" s="59">
        <f>HLOOKUP(SUBSTITUTE(CONCATENATE(SUBSTITUTE(SUBSTITUTE(A81,"歳","")," ",""),"_男")," ",""),[6]データ貼り付けシート!$1:$2,2,FALSE)</f>
        <v>454</v>
      </c>
      <c r="C81" s="59">
        <f>HLOOKUP(SUBSTITUTE(CONCATENATE(SUBSTITUTE(SUBSTITUTE(A81,"歳","")," ",""),"_女")," ",""),[6]データ貼り付けシート!$1:$2,2,FALSE)</f>
        <v>560</v>
      </c>
      <c r="D81" s="59">
        <f>HLOOKUP(SUBSTITUTE(CONCATENATE(SUBSTITUTE(SUBSTITUTE(A81,"歳","")," ",""),"_全体")," ",""),[6]データ貼り付けシート!$1:$2,2,FALSE)</f>
        <v>1014</v>
      </c>
      <c r="E81" s="57"/>
    </row>
    <row r="82" spans="1:5" x14ac:dyDescent="0.4">
      <c r="A82" s="58" t="s">
        <v>83</v>
      </c>
      <c r="B82" s="59">
        <f>HLOOKUP(SUBSTITUTE(CONCATENATE(SUBSTITUTE(SUBSTITUTE(A82,"歳","")," ",""),"_男")," ",""),[6]データ貼り付けシート!$1:$2,2,FALSE)</f>
        <v>384</v>
      </c>
      <c r="C82" s="59">
        <f>HLOOKUP(SUBSTITUTE(CONCATENATE(SUBSTITUTE(SUBSTITUTE(A82,"歳","")," ",""),"_女")," ",""),[6]データ貼り付けシート!$1:$2,2,FALSE)</f>
        <v>458</v>
      </c>
      <c r="D82" s="59">
        <f>HLOOKUP(SUBSTITUTE(CONCATENATE(SUBSTITUTE(SUBSTITUTE(A82,"歳","")," ",""),"_全体")," ",""),[6]データ貼り付けシート!$1:$2,2,FALSE)</f>
        <v>842</v>
      </c>
      <c r="E82" s="57"/>
    </row>
    <row r="83" spans="1:5" x14ac:dyDescent="0.4">
      <c r="A83" s="58" t="s">
        <v>84</v>
      </c>
      <c r="B83" s="59">
        <f>HLOOKUP(SUBSTITUTE(CONCATENATE(SUBSTITUTE(SUBSTITUTE(A83,"歳","")," ",""),"_男")," ",""),[6]データ貼り付けシート!$1:$2,2,FALSE)</f>
        <v>331</v>
      </c>
      <c r="C83" s="59">
        <f>HLOOKUP(SUBSTITUTE(CONCATENATE(SUBSTITUTE(SUBSTITUTE(A83,"歳","")," ",""),"_女")," ",""),[6]データ貼り付けシート!$1:$2,2,FALSE)</f>
        <v>372</v>
      </c>
      <c r="D83" s="59">
        <f>HLOOKUP(SUBSTITUTE(CONCATENATE(SUBSTITUTE(SUBSTITUTE(A83,"歳","")," ",""),"_全体")," ",""),[6]データ貼り付けシート!$1:$2,2,FALSE)</f>
        <v>703</v>
      </c>
      <c r="E83" s="57"/>
    </row>
    <row r="84" spans="1:5" x14ac:dyDescent="0.4">
      <c r="A84" s="58" t="s">
        <v>85</v>
      </c>
      <c r="B84" s="59">
        <f>HLOOKUP(SUBSTITUTE(CONCATENATE(SUBSTITUTE(SUBSTITUTE(A84,"歳","")," ",""),"_男")," ",""),[6]データ貼り付けシート!$1:$2,2,FALSE)</f>
        <v>308</v>
      </c>
      <c r="C84" s="59">
        <f>HLOOKUP(SUBSTITUTE(CONCATENATE(SUBSTITUTE(SUBSTITUTE(A84,"歳","")," ",""),"_女")," ",""),[6]データ貼り付けシート!$1:$2,2,FALSE)</f>
        <v>398</v>
      </c>
      <c r="D84" s="59">
        <f>HLOOKUP(SUBSTITUTE(CONCATENATE(SUBSTITUTE(SUBSTITUTE(A84,"歳","")," ",""),"_全体")," ",""),[6]データ貼り付けシート!$1:$2,2,FALSE)</f>
        <v>706</v>
      </c>
      <c r="E84" s="57"/>
    </row>
    <row r="85" spans="1:5" x14ac:dyDescent="0.4">
      <c r="A85" s="58" t="s">
        <v>86</v>
      </c>
      <c r="B85" s="59">
        <f>HLOOKUP(SUBSTITUTE(CONCATENATE(SUBSTITUTE(SUBSTITUTE(A85,"歳","")," ",""),"_男")," ",""),[6]データ貼り付けシート!$1:$2,2,FALSE)</f>
        <v>296</v>
      </c>
      <c r="C85" s="59">
        <f>HLOOKUP(SUBSTITUTE(CONCATENATE(SUBSTITUTE(SUBSTITUTE(A85,"歳","")," ",""),"_女")," ",""),[6]データ貼り付けシート!$1:$2,2,FALSE)</f>
        <v>342</v>
      </c>
      <c r="D85" s="59">
        <f>HLOOKUP(SUBSTITUTE(CONCATENATE(SUBSTITUTE(SUBSTITUTE(A85,"歳","")," ",""),"_全体")," ",""),[6]データ貼り付けシート!$1:$2,2,FALSE)</f>
        <v>638</v>
      </c>
      <c r="E85" s="57"/>
    </row>
    <row r="86" spans="1:5" x14ac:dyDescent="0.4">
      <c r="A86" s="58" t="s">
        <v>87</v>
      </c>
      <c r="B86" s="59">
        <f>HLOOKUP(SUBSTITUTE(CONCATENATE(SUBSTITUTE(SUBSTITUTE(A86,"歳","")," ",""),"_男")," ",""),[6]データ貼り付けシート!$1:$2,2,FALSE)</f>
        <v>274</v>
      </c>
      <c r="C86" s="59">
        <f>HLOOKUP(SUBSTITUTE(CONCATENATE(SUBSTITUTE(SUBSTITUTE(A86,"歳","")," ",""),"_女")," ",""),[6]データ貼り付けシート!$1:$2,2,FALSE)</f>
        <v>324</v>
      </c>
      <c r="D86" s="59">
        <f>HLOOKUP(SUBSTITUTE(CONCATENATE(SUBSTITUTE(SUBSTITUTE(A86,"歳","")," ",""),"_全体")," ",""),[6]データ貼り付けシート!$1:$2,2,FALSE)</f>
        <v>598</v>
      </c>
      <c r="E86" s="57"/>
    </row>
    <row r="87" spans="1:5" x14ac:dyDescent="0.4">
      <c r="A87" s="58" t="s">
        <v>88</v>
      </c>
      <c r="B87" s="59">
        <f>HLOOKUP(SUBSTITUTE(CONCATENATE(SUBSTITUTE(SUBSTITUTE(A87,"歳","")," ",""),"_男")," ",""),[6]データ貼り付けシート!$1:$2,2,FALSE)</f>
        <v>194</v>
      </c>
      <c r="C87" s="59">
        <f>HLOOKUP(SUBSTITUTE(CONCATENATE(SUBSTITUTE(SUBSTITUTE(A87,"歳","")," ",""),"_女")," ",""),[6]データ貼り付けシート!$1:$2,2,FALSE)</f>
        <v>272</v>
      </c>
      <c r="D87" s="59">
        <f>HLOOKUP(SUBSTITUTE(CONCATENATE(SUBSTITUTE(SUBSTITUTE(A87,"歳","")," ",""),"_全体")," ",""),[6]データ貼り付けシート!$1:$2,2,FALSE)</f>
        <v>466</v>
      </c>
      <c r="E87" s="57"/>
    </row>
    <row r="88" spans="1:5" x14ac:dyDescent="0.4">
      <c r="A88" s="58" t="s">
        <v>89</v>
      </c>
      <c r="B88" s="59">
        <f>HLOOKUP(SUBSTITUTE(CONCATENATE(SUBSTITUTE(SUBSTITUTE(A88,"歳","")," ",""),"_男")," ",""),[6]データ貼り付けシート!$1:$2,2,FALSE)</f>
        <v>148</v>
      </c>
      <c r="C88" s="59">
        <f>HLOOKUP(SUBSTITUTE(CONCATENATE(SUBSTITUTE(SUBSTITUTE(A88,"歳","")," ",""),"_女")," ",""),[6]データ貼り付けシート!$1:$2,2,FALSE)</f>
        <v>278</v>
      </c>
      <c r="D88" s="59">
        <f>HLOOKUP(SUBSTITUTE(CONCATENATE(SUBSTITUTE(SUBSTITUTE(A88,"歳","")," ",""),"_全体")," ",""),[6]データ貼り付けシート!$1:$2,2,FALSE)</f>
        <v>426</v>
      </c>
      <c r="E88" s="57"/>
    </row>
    <row r="89" spans="1:5" x14ac:dyDescent="0.4">
      <c r="A89" s="58" t="s">
        <v>90</v>
      </c>
      <c r="B89" s="59">
        <f>HLOOKUP(SUBSTITUTE(CONCATENATE(SUBSTITUTE(SUBSTITUTE(A89,"歳","")," ",""),"_男")," ",""),[6]データ貼り付けシート!$1:$2,2,FALSE)</f>
        <v>132</v>
      </c>
      <c r="C89" s="59">
        <f>HLOOKUP(SUBSTITUTE(CONCATENATE(SUBSTITUTE(SUBSTITUTE(A89,"歳","")," ",""),"_女")," ",""),[6]データ貼り付けシート!$1:$2,2,FALSE)</f>
        <v>238</v>
      </c>
      <c r="D89" s="59">
        <f>HLOOKUP(SUBSTITUTE(CONCATENATE(SUBSTITUTE(SUBSTITUTE(A89,"歳","")," ",""),"_全体")," ",""),[6]データ貼り付けシート!$1:$2,2,FALSE)</f>
        <v>370</v>
      </c>
      <c r="E89" s="57"/>
    </row>
    <row r="90" spans="1:5" x14ac:dyDescent="0.4">
      <c r="A90" s="58" t="s">
        <v>91</v>
      </c>
      <c r="B90" s="59">
        <f>HLOOKUP(SUBSTITUTE(CONCATENATE(SUBSTITUTE(SUBSTITUTE(A90,"歳","")," ",""),"_男")," ",""),[6]データ貼り付けシート!$1:$2,2,FALSE)</f>
        <v>123</v>
      </c>
      <c r="C90" s="59">
        <f>HLOOKUP(SUBSTITUTE(CONCATENATE(SUBSTITUTE(SUBSTITUTE(A90,"歳","")," ",""),"_女")," ",""),[6]データ貼り付けシート!$1:$2,2,FALSE)</f>
        <v>192</v>
      </c>
      <c r="D90" s="59">
        <f>HLOOKUP(SUBSTITUTE(CONCATENATE(SUBSTITUTE(SUBSTITUTE(A90,"歳","")," ",""),"_全体")," ",""),[6]データ貼り付けシート!$1:$2,2,FALSE)</f>
        <v>315</v>
      </c>
      <c r="E90" s="57"/>
    </row>
    <row r="91" spans="1:5" x14ac:dyDescent="0.4">
      <c r="A91" s="58" t="s">
        <v>92</v>
      </c>
      <c r="B91" s="59">
        <f>HLOOKUP(SUBSTITUTE(CONCATENATE(SUBSTITUTE(SUBSTITUTE(A91,"歳","")," ",""),"_男")," ",""),[6]データ貼り付けシート!$1:$2,2,FALSE)</f>
        <v>91</v>
      </c>
      <c r="C91" s="59">
        <f>HLOOKUP(SUBSTITUTE(CONCATENATE(SUBSTITUTE(SUBSTITUTE(A91,"歳","")," ",""),"_女")," ",""),[6]データ貼り付けシート!$1:$2,2,FALSE)</f>
        <v>159</v>
      </c>
      <c r="D91" s="59">
        <f>HLOOKUP(SUBSTITUTE(CONCATENATE(SUBSTITUTE(SUBSTITUTE(A91,"歳","")," ",""),"_全体")," ",""),[6]データ貼り付けシート!$1:$2,2,FALSE)</f>
        <v>250</v>
      </c>
      <c r="E91" s="57"/>
    </row>
    <row r="92" spans="1:5" x14ac:dyDescent="0.4">
      <c r="A92" s="58" t="s">
        <v>93</v>
      </c>
      <c r="B92" s="59">
        <f>HLOOKUP(SUBSTITUTE(CONCATENATE(SUBSTITUTE(SUBSTITUTE(A92,"歳","")," ",""),"_男")," ",""),[6]データ貼り付けシート!$1:$2,2,FALSE)</f>
        <v>55</v>
      </c>
      <c r="C92" s="59">
        <f>HLOOKUP(SUBSTITUTE(CONCATENATE(SUBSTITUTE(SUBSTITUTE(A92,"歳","")," ",""),"_女")," ",""),[6]データ貼り付けシート!$1:$2,2,FALSE)</f>
        <v>152</v>
      </c>
      <c r="D92" s="59">
        <f>HLOOKUP(SUBSTITUTE(CONCATENATE(SUBSTITUTE(SUBSTITUTE(A92,"歳","")," ",""),"_全体")," ",""),[6]データ貼り付けシート!$1:$2,2,FALSE)</f>
        <v>207</v>
      </c>
      <c r="E92" s="57"/>
    </row>
    <row r="93" spans="1:5" x14ac:dyDescent="0.4">
      <c r="A93" s="58" t="s">
        <v>94</v>
      </c>
      <c r="B93" s="59">
        <f>HLOOKUP(SUBSTITUTE(CONCATENATE(SUBSTITUTE(SUBSTITUTE(A93,"歳","")," ",""),"_男")," ",""),[6]データ貼り付けシート!$1:$2,2,FALSE)</f>
        <v>60</v>
      </c>
      <c r="C93" s="59">
        <f>HLOOKUP(SUBSTITUTE(CONCATENATE(SUBSTITUTE(SUBSTITUTE(A93,"歳","")," ",""),"_女")," ",""),[6]データ貼り付けシート!$1:$2,2,FALSE)</f>
        <v>137</v>
      </c>
      <c r="D93" s="59">
        <f>HLOOKUP(SUBSTITUTE(CONCATENATE(SUBSTITUTE(SUBSTITUTE(A93,"歳","")," ",""),"_全体")," ",""),[6]データ貼り付けシート!$1:$2,2,FALSE)</f>
        <v>197</v>
      </c>
      <c r="E93" s="57"/>
    </row>
    <row r="94" spans="1:5" x14ac:dyDescent="0.4">
      <c r="A94" s="58" t="s">
        <v>95</v>
      </c>
      <c r="B94" s="59">
        <f>HLOOKUP(SUBSTITUTE(CONCATENATE(SUBSTITUTE(SUBSTITUTE(A94,"歳","")," ",""),"_男")," ",""),[6]データ貼り付けシート!$1:$2,2,FALSE)</f>
        <v>47</v>
      </c>
      <c r="C94" s="59">
        <f>HLOOKUP(SUBSTITUTE(CONCATENATE(SUBSTITUTE(SUBSTITUTE(A94,"歳","")," ",""),"_女")," ",""),[6]データ貼り付けシート!$1:$2,2,FALSE)</f>
        <v>101</v>
      </c>
      <c r="D94" s="59">
        <f>HLOOKUP(SUBSTITUTE(CONCATENATE(SUBSTITUTE(SUBSTITUTE(A94,"歳","")," ",""),"_全体")," ",""),[6]データ貼り付けシート!$1:$2,2,FALSE)</f>
        <v>148</v>
      </c>
      <c r="E94" s="57"/>
    </row>
    <row r="95" spans="1:5" x14ac:dyDescent="0.4">
      <c r="A95" s="58" t="s">
        <v>96</v>
      </c>
      <c r="B95" s="59">
        <f>HLOOKUP(SUBSTITUTE(CONCATENATE(SUBSTITUTE(SUBSTITUTE(A95,"歳","")," ",""),"_男")," ",""),[6]データ貼り付けシート!$1:$2,2,FALSE)</f>
        <v>34</v>
      </c>
      <c r="C95" s="59">
        <f>HLOOKUP(SUBSTITUTE(CONCATENATE(SUBSTITUTE(SUBSTITUTE(A95,"歳","")," ",""),"_女")," ",""),[6]データ貼り付けシート!$1:$2,2,FALSE)</f>
        <v>103</v>
      </c>
      <c r="D95" s="59">
        <f>HLOOKUP(SUBSTITUTE(CONCATENATE(SUBSTITUTE(SUBSTITUTE(A95,"歳","")," ",""),"_全体")," ",""),[6]データ貼り付けシート!$1:$2,2,FALSE)</f>
        <v>137</v>
      </c>
      <c r="E95" s="57"/>
    </row>
    <row r="96" spans="1:5" x14ac:dyDescent="0.4">
      <c r="A96" s="58" t="s">
        <v>97</v>
      </c>
      <c r="B96" s="59">
        <f>HLOOKUP(SUBSTITUTE(CONCATENATE(SUBSTITUTE(SUBSTITUTE(A96,"歳","")," ",""),"_男")," ",""),[6]データ貼り付けシート!$1:$2,2,FALSE)</f>
        <v>16</v>
      </c>
      <c r="C96" s="59">
        <f>HLOOKUP(SUBSTITUTE(CONCATENATE(SUBSTITUTE(SUBSTITUTE(A96,"歳","")," ",""),"_女")," ",""),[6]データ貼り付けシート!$1:$2,2,FALSE)</f>
        <v>74</v>
      </c>
      <c r="D96" s="59">
        <f>HLOOKUP(SUBSTITUTE(CONCATENATE(SUBSTITUTE(SUBSTITUTE(A96,"歳","")," ",""),"_全体")," ",""),[6]データ貼り付けシート!$1:$2,2,FALSE)</f>
        <v>90</v>
      </c>
      <c r="E96" s="57"/>
    </row>
    <row r="97" spans="1:5" x14ac:dyDescent="0.4">
      <c r="A97" s="58" t="s">
        <v>98</v>
      </c>
      <c r="B97" s="59">
        <f>HLOOKUP(SUBSTITUTE(CONCATENATE(SUBSTITUTE(SUBSTITUTE(A97,"歳","")," ",""),"_男")," ",""),[6]データ貼り付けシート!$1:$2,2,FALSE)</f>
        <v>17</v>
      </c>
      <c r="C97" s="59">
        <f>HLOOKUP(SUBSTITUTE(CONCATENATE(SUBSTITUTE(SUBSTITUTE(A97,"歳","")," ",""),"_女")," ",""),[6]データ貼り付けシート!$1:$2,2,FALSE)</f>
        <v>63</v>
      </c>
      <c r="D97" s="59">
        <f>HLOOKUP(SUBSTITUTE(CONCATENATE(SUBSTITUTE(SUBSTITUTE(A97,"歳","")," ",""),"_全体")," ",""),[6]データ貼り付けシート!$1:$2,2,FALSE)</f>
        <v>80</v>
      </c>
      <c r="E97" s="57"/>
    </row>
    <row r="98" spans="1:5" x14ac:dyDescent="0.4">
      <c r="A98" s="58" t="s">
        <v>99</v>
      </c>
      <c r="B98" s="59">
        <f>HLOOKUP(SUBSTITUTE(CONCATENATE(SUBSTITUTE(SUBSTITUTE(A98,"歳","")," ",""),"_男")," ",""),[6]データ貼り付けシート!$1:$2,2,FALSE)</f>
        <v>8</v>
      </c>
      <c r="C98" s="59">
        <f>HLOOKUP(SUBSTITUTE(CONCATENATE(SUBSTITUTE(SUBSTITUTE(A98,"歳","")," ",""),"_女")," ",""),[6]データ貼り付けシート!$1:$2,2,FALSE)</f>
        <v>52</v>
      </c>
      <c r="D98" s="59">
        <f>HLOOKUP(SUBSTITUTE(CONCATENATE(SUBSTITUTE(SUBSTITUTE(A98,"歳","")," ",""),"_全体")," ",""),[6]データ貼り付けシート!$1:$2,2,FALSE)</f>
        <v>60</v>
      </c>
      <c r="E98" s="57"/>
    </row>
    <row r="99" spans="1:5" x14ac:dyDescent="0.4">
      <c r="A99" s="58" t="s">
        <v>100</v>
      </c>
      <c r="B99" s="59">
        <f>HLOOKUP(SUBSTITUTE(CONCATENATE(SUBSTITUTE(SUBSTITUTE(A99,"歳","")," ",""),"_男")," ",""),[6]データ貼り付けシート!$1:$2,2,FALSE)</f>
        <v>8</v>
      </c>
      <c r="C99" s="59">
        <f>HLOOKUP(SUBSTITUTE(CONCATENATE(SUBSTITUTE(SUBSTITUTE(A99,"歳","")," ",""),"_女")," ",""),[6]データ貼り付けシート!$1:$2,2,FALSE)</f>
        <v>31</v>
      </c>
      <c r="D99" s="59">
        <f>HLOOKUP(SUBSTITUTE(CONCATENATE(SUBSTITUTE(SUBSTITUTE(A99,"歳","")," ",""),"_全体")," ",""),[6]データ貼り付けシート!$1:$2,2,FALSE)</f>
        <v>39</v>
      </c>
      <c r="E99" s="57"/>
    </row>
    <row r="100" spans="1:5" x14ac:dyDescent="0.4">
      <c r="A100" s="58" t="s">
        <v>101</v>
      </c>
      <c r="B100" s="59">
        <f>HLOOKUP(SUBSTITUTE(CONCATENATE(SUBSTITUTE(SUBSTITUTE(A100,"歳","")," ",""),"_男")," ",""),[6]データ貼り付けシート!$1:$2,2,FALSE)</f>
        <v>7</v>
      </c>
      <c r="C100" s="59">
        <f>HLOOKUP(SUBSTITUTE(CONCATENATE(SUBSTITUTE(SUBSTITUTE(A100,"歳","")," ",""),"_女")," ",""),[6]データ貼り付けシート!$1:$2,2,FALSE)</f>
        <v>33</v>
      </c>
      <c r="D100" s="59">
        <f>HLOOKUP(SUBSTITUTE(CONCATENATE(SUBSTITUTE(SUBSTITUTE(A100,"歳","")," ",""),"_全体")," ",""),[6]データ貼り付けシート!$1:$2,2,FALSE)</f>
        <v>40</v>
      </c>
      <c r="E100" s="57"/>
    </row>
    <row r="101" spans="1:5" x14ac:dyDescent="0.4">
      <c r="A101" s="58" t="s">
        <v>102</v>
      </c>
      <c r="B101" s="59">
        <f>HLOOKUP(SUBSTITUTE(CONCATENATE(SUBSTITUTE(SUBSTITUTE(A101,"歳","")," ",""),"_男")," ",""),[6]データ貼り付けシート!$1:$2,2,FALSE)</f>
        <v>4</v>
      </c>
      <c r="C101" s="59">
        <f>HLOOKUP(SUBSTITUTE(CONCATENATE(SUBSTITUTE(SUBSTITUTE(A101,"歳","")," ",""),"_女")," ",""),[6]データ貼り付けシート!$1:$2,2,FALSE)</f>
        <v>17</v>
      </c>
      <c r="D101" s="59">
        <f>HLOOKUP(SUBSTITUTE(CONCATENATE(SUBSTITUTE(SUBSTITUTE(A101,"歳","")," ",""),"_全体")," ",""),[6]データ貼り付けシート!$1:$2,2,FALSE)</f>
        <v>21</v>
      </c>
      <c r="E101" s="57"/>
    </row>
    <row r="102" spans="1:5" x14ac:dyDescent="0.4">
      <c r="A102" s="58" t="s">
        <v>103</v>
      </c>
      <c r="B102" s="59">
        <f>HLOOKUP(SUBSTITUTE(CONCATENATE(SUBSTITUTE(SUBSTITUTE(A102,"歳","")," ",""),"_男")," ",""),[6]データ貼り付けシート!$1:$2,2,FALSE)</f>
        <v>1</v>
      </c>
      <c r="C102" s="59">
        <f>HLOOKUP(SUBSTITUTE(CONCATENATE(SUBSTITUTE(SUBSTITUTE(A102,"歳","")," ",""),"_女")," ",""),[6]データ貼り付けシート!$1:$2,2,FALSE)</f>
        <v>19</v>
      </c>
      <c r="D102" s="59">
        <f>HLOOKUP(SUBSTITUTE(CONCATENATE(SUBSTITUTE(SUBSTITUTE(A102,"歳","")," ",""),"_全体")," ",""),[6]データ貼り付けシート!$1:$2,2,FALSE)</f>
        <v>20</v>
      </c>
      <c r="E102" s="57"/>
    </row>
    <row r="103" spans="1:5" x14ac:dyDescent="0.4">
      <c r="A103" s="58" t="s">
        <v>104</v>
      </c>
      <c r="B103" s="59">
        <f>HLOOKUP(SUBSTITUTE(CONCATENATE(SUBSTITUTE(SUBSTITUTE(A103,"歳","")," ",""),"_男")," ",""),[6]データ貼り付けシート!$1:$2,2,FALSE)</f>
        <v>1</v>
      </c>
      <c r="C103" s="59">
        <f>HLOOKUP(SUBSTITUTE(CONCATENATE(SUBSTITUTE(SUBSTITUTE(A103,"歳","")," ",""),"_女")," ",""),[6]データ貼り付けシート!$1:$2,2,FALSE)</f>
        <v>7</v>
      </c>
      <c r="D103" s="59">
        <f>HLOOKUP(SUBSTITUTE(CONCATENATE(SUBSTITUTE(SUBSTITUTE(A103,"歳","")," ",""),"_全体")," ",""),[6]データ貼り付けシート!$1:$2,2,FALSE)</f>
        <v>8</v>
      </c>
      <c r="E103" s="57"/>
    </row>
    <row r="104" spans="1:5" x14ac:dyDescent="0.4">
      <c r="A104" s="58" t="s">
        <v>105</v>
      </c>
      <c r="B104" s="59">
        <f>HLOOKUP(SUBSTITUTE(CONCATENATE(SUBSTITUTE(SUBSTITUTE(A104,"歳","")," ",""),"_男")," ",""),[6]データ貼り付けシート!$1:$2,2,FALSE)</f>
        <v>0</v>
      </c>
      <c r="C104" s="59">
        <f>HLOOKUP(SUBSTITUTE(CONCATENATE(SUBSTITUTE(SUBSTITUTE(A104,"歳","")," ",""),"_女")," ",""),[6]データ貼り付けシート!$1:$2,2,FALSE)</f>
        <v>3</v>
      </c>
      <c r="D104" s="59">
        <f>HLOOKUP(SUBSTITUTE(CONCATENATE(SUBSTITUTE(SUBSTITUTE(A104,"歳","")," ",""),"_全体")," ",""),[6]データ貼り付けシート!$1:$2,2,FALSE)</f>
        <v>3</v>
      </c>
      <c r="E104" s="57"/>
    </row>
    <row r="105" spans="1:5" x14ac:dyDescent="0.4">
      <c r="A105" s="58" t="s">
        <v>106</v>
      </c>
      <c r="B105" s="59">
        <f>HLOOKUP(SUBSTITUTE(CONCATENATE(SUBSTITUTE(SUBSTITUTE(A105,"歳","")," ",""),"_男")," ",""),[6]データ貼り付けシート!$1:$2,2,FALSE)</f>
        <v>0</v>
      </c>
      <c r="C105" s="59">
        <f>HLOOKUP(SUBSTITUTE(CONCATENATE(SUBSTITUTE(SUBSTITUTE(A105,"歳","")," ",""),"_女")," ",""),[6]データ貼り付けシート!$1:$2,2,FALSE)</f>
        <v>2</v>
      </c>
      <c r="D105" s="59">
        <f>HLOOKUP(SUBSTITUTE(CONCATENATE(SUBSTITUTE(SUBSTITUTE(A105,"歳","")," ",""),"_全体")," ",""),[6]データ貼り付けシート!$1:$2,2,FALSE)</f>
        <v>2</v>
      </c>
      <c r="E105" s="57"/>
    </row>
    <row r="106" spans="1:5" x14ac:dyDescent="0.4">
      <c r="A106" s="58" t="s">
        <v>107</v>
      </c>
      <c r="B106" s="59">
        <f>HLOOKUP(SUBSTITUTE(CONCATENATE(SUBSTITUTE(SUBSTITUTE(A106,"歳","")," ",""),"_男")," ",""),[6]データ貼り付けシート!$1:$2,2,FALSE)</f>
        <v>1</v>
      </c>
      <c r="C106" s="59">
        <f>HLOOKUP(SUBSTITUTE(CONCATENATE(SUBSTITUTE(SUBSTITUTE(A106,"歳","")," ",""),"_女")," ",""),[6]データ貼り付けシート!$1:$2,2,FALSE)</f>
        <v>4</v>
      </c>
      <c r="D106" s="59">
        <f>HLOOKUP(SUBSTITUTE(CONCATENATE(SUBSTITUTE(SUBSTITUTE(A106,"歳","")," ",""),"_全体")," ",""),[6]データ貼り付けシート!$1:$2,2,FALSE)</f>
        <v>5</v>
      </c>
      <c r="E106" s="57"/>
    </row>
    <row r="107" spans="1:5" x14ac:dyDescent="0.4">
      <c r="A107" s="58" t="s">
        <v>108</v>
      </c>
      <c r="B107" s="59">
        <f>HLOOKUP(SUBSTITUTE(CONCATENATE(SUBSTITUTE(SUBSTITUTE(A107,"歳","")," ",""),"_男")," ",""),[6]データ貼り付けシート!$1:$2,2,FALSE)</f>
        <v>0</v>
      </c>
      <c r="C107" s="59">
        <f>HLOOKUP(SUBSTITUTE(CONCATENATE(SUBSTITUTE(SUBSTITUTE(A107,"歳","")," ",""),"_女")," ",""),[6]データ貼り付けシート!$1:$2,2,FALSE)</f>
        <v>3</v>
      </c>
      <c r="D107" s="59">
        <f>HLOOKUP(SUBSTITUTE(CONCATENATE(SUBSTITUTE(SUBSTITUTE(A107,"歳","")," ",""),"_全体")," ",""),[6]データ貼り付けシート!$1:$2,2,FALSE)</f>
        <v>3</v>
      </c>
      <c r="E107" s="57"/>
    </row>
    <row r="108" spans="1:5" x14ac:dyDescent="0.4">
      <c r="A108" s="58" t="s">
        <v>160</v>
      </c>
      <c r="B108" s="59">
        <f>IF(ISERROR(HLOOKUP("105以上_男",[6]データ貼り付けシート!$1:$2,2,FALSE)),0,HLOOKUP("105以上_男",[6]データ貼り付けシート!$1:$2,2,FALSE))+IF(ISERROR(HLOOKUP("105_男",[6]データ貼り付けシート!$1:$2,2,FALSE)),0,HLOOKUP("105_男",[6]データ貼り付けシート!$1:$2,2,FALSE))</f>
        <v>0</v>
      </c>
      <c r="C108" s="59">
        <f>IF(ISERROR(HLOOKUP("105以上_女",[6]データ貼り付けシート!$1:$2,2,FALSE)),0,HLOOKUP("105以上_女",[6]データ貼り付けシート!$1:$2,2,FALSE))+IF(ISERROR(HLOOKUP("105_女",[6]データ貼り付けシート!$1:$2,2,FALSE)),0,HLOOKUP("105_女",[6]データ貼り付けシート!$1:$2,2,FALSE))</f>
        <v>0</v>
      </c>
      <c r="D108" s="59">
        <f>B108+C108</f>
        <v>0</v>
      </c>
      <c r="E108" s="57"/>
    </row>
    <row r="109" spans="1:5" x14ac:dyDescent="0.4">
      <c r="A109" s="58" t="s">
        <v>110</v>
      </c>
      <c r="B109" s="59">
        <f>IF(ISERROR(HLOOKUP("106以上_男",[6]データ貼り付けシート!$1:$2,2,FALSE)),0,HLOOKUP("106以上_男",[6]データ貼り付けシート!$1:$2,2,FALSE))+IF(ISERROR(HLOOKUP("106_男",[6]データ貼り付けシート!$1:$2,2,FALSE)),0,HLOOKUP("106_男",[6]データ貼り付けシート!$1:$2,2,FALSE))</f>
        <v>0</v>
      </c>
      <c r="C109" s="59">
        <f>IF(ISERROR(HLOOKUP("106以上_女",[6]データ貼り付けシート!$1:$2,2,FALSE)),0,HLOOKUP("106以上_女",[6]データ貼り付けシート!$1:$2,2,FALSE))+IF(ISERROR(HLOOKUP("106_女",[6]データ貼り付けシート!$1:$2,2,FALSE)),0,HLOOKUP("106_女",[6]データ貼り付けシート!$1:$2,2,FALSE))</f>
        <v>1</v>
      </c>
      <c r="D109" s="59">
        <f>B109+C109</f>
        <v>1</v>
      </c>
      <c r="E109" s="57"/>
    </row>
    <row r="110" spans="1:5" x14ac:dyDescent="0.4">
      <c r="A110" s="58" t="s">
        <v>139</v>
      </c>
      <c r="B110" s="59">
        <f>IF(ISERROR(HLOOKUP("107以上_男",[6]データ貼り付けシート!$1:$2,2,FALSE)),0,HLOOKUP("107以上_男",[6]データ貼り付けシート!$1:$2,2,FALSE))+IF(ISERROR(HLOOKUP("107_男",[6]データ貼り付けシート!$1:$2,2,FALSE)),0,HLOOKUP("107_男",[6]データ貼り付けシート!$1:$2,2,FALSE))</f>
        <v>0</v>
      </c>
      <c r="C110" s="59">
        <f>IF(ISERROR(HLOOKUP("107以上_女",[6]データ貼り付けシート!$1:$2,2,FALSE)),0,HLOOKUP("107以上_女",[6]データ貼り付けシート!$1:$2,2,FALSE))+IF(ISERROR(HLOOKUP("107_女",[6]データ貼り付けシート!$1:$2,2,FALSE)),0,HLOOKUP("107_女",[6]データ貼り付けシート!$1:$2,2,FALSE))</f>
        <v>0</v>
      </c>
      <c r="D110" s="59">
        <f>B110+C110</f>
        <v>0</v>
      </c>
      <c r="E110" s="57"/>
    </row>
    <row r="111" spans="1:5" x14ac:dyDescent="0.4">
      <c r="A111" s="58" t="s">
        <v>161</v>
      </c>
      <c r="B111" s="59">
        <f>IF(ISERROR(HLOOKUP("108以上_男",[6]データ貼り付けシート!$1:$2,2,FALSE)),0,HLOOKUP("108以上_男",[6]データ貼り付けシート!$1:$2,2,FALSE))+IF(ISERROR(HLOOKUP("108_男",[6]データ貼り付けシート!$1:$2,2,FALSE)),0,HLOOKUP("108_男",[6]データ貼り付けシート!$1:$2,2,FALSE))</f>
        <v>0</v>
      </c>
      <c r="C111" s="59">
        <f>IF(ISERROR(HLOOKUP("108以上_女",[6]データ貼り付けシート!$1:$2,2,FALSE)),0,HLOOKUP("108以上_女",[6]データ貼り付けシート!$1:$2,2,FALSE))+IF(ISERROR(HLOOKUP("108_女",[6]データ貼り付けシート!$1:$2,2,FALSE)),0,HLOOKUP("108_女",[6]データ貼り付けシート!$1:$2,2,FALSE))</f>
        <v>0</v>
      </c>
      <c r="D111" s="59">
        <f t="shared" ref="D111:D113" si="0">B111+C111</f>
        <v>0</v>
      </c>
      <c r="E111" s="57"/>
    </row>
    <row r="112" spans="1:5" x14ac:dyDescent="0.4">
      <c r="A112" s="58" t="s">
        <v>162</v>
      </c>
      <c r="B112" s="59">
        <f>IF(ISERROR(HLOOKUP("109以上_男",[6]データ貼り付けシート!$1:$2,2,FALSE)),0,HLOOKUP("109以上_男",[6]データ貼り付けシート!$1:$2,2,FALSE))+IF(ISERROR(HLOOKUP("109_男",[6]データ貼り付けシート!$1:$2,2,FALSE)),0,HLOOKUP("109_男",[6]データ貼り付けシート!$1:$2,2,FALSE))</f>
        <v>0</v>
      </c>
      <c r="C112" s="59">
        <f>IF(ISERROR(HLOOKUP("109以上_女",[6]データ貼り付けシート!$1:$2,2,FALSE)),0,HLOOKUP("109以上_女",[6]データ貼り付けシート!$1:$2,2,FALSE))+IF(ISERROR(HLOOKUP("109_女",[6]データ貼り付けシート!$1:$2,2,FALSE)),0,HLOOKUP("109_女",[6]データ貼り付けシート!$1:$2,2,FALSE))</f>
        <v>0</v>
      </c>
      <c r="D112" s="59">
        <f t="shared" si="0"/>
        <v>0</v>
      </c>
      <c r="E112" s="57"/>
    </row>
    <row r="113" spans="1:5" x14ac:dyDescent="0.4">
      <c r="A113" s="58" t="s">
        <v>142</v>
      </c>
      <c r="B113" s="59">
        <f>IF(ISERROR(HLOOKUP("110以上_男",[6]データ貼り付けシート!$1:$2,2,FALSE)),0,HLOOKUP("110以上_男",[6]データ貼り付けシート!$1:$2,2,FALSE))+IF(ISERROR(HLOOKUP("110_男",[6]データ貼り付けシート!$1:$2,2,FALSE)),0,HLOOKUP("110_男",[6]データ貼り付けシート!$1:$2,2,FALSE))</f>
        <v>0</v>
      </c>
      <c r="C113" s="59">
        <f>IF(ISERROR(HLOOKUP("110以上_女",[6]データ貼り付けシート!$1:$2,2,FALSE)),0,HLOOKUP("107以上_女",[6]データ貼り付けシート!$1:$2,2,FALSE))+IF(ISERROR(HLOOKUP("110_女",[6]データ貼り付けシート!$1:$2,2,FALSE)),0,HLOOKUP("110_女",[6]データ貼り付けシート!$1:$2,2,FALSE))</f>
        <v>0</v>
      </c>
      <c r="D113" s="59">
        <f t="shared" si="0"/>
        <v>0</v>
      </c>
      <c r="E113" s="57"/>
    </row>
    <row r="114" spans="1:5" x14ac:dyDescent="0.4">
      <c r="A114" s="57"/>
      <c r="B114" s="60"/>
      <c r="C114" s="60"/>
      <c r="D114" s="60"/>
      <c r="E114" s="57"/>
    </row>
    <row r="115" spans="1:5" x14ac:dyDescent="0.4">
      <c r="A115" s="61" t="s">
        <v>0</v>
      </c>
      <c r="B115" s="61" t="s">
        <v>1</v>
      </c>
      <c r="C115" s="62" t="s">
        <v>2</v>
      </c>
      <c r="D115" s="56" t="s">
        <v>3</v>
      </c>
      <c r="E115" s="57"/>
    </row>
    <row r="116" spans="1:5" x14ac:dyDescent="0.4">
      <c r="A116" s="61" t="s">
        <v>115</v>
      </c>
      <c r="B116" s="63">
        <f>SUM(B3:B8)</f>
        <v>2355</v>
      </c>
      <c r="C116" s="64">
        <f>SUM(C3:C8)</f>
        <v>2251</v>
      </c>
      <c r="D116" s="59">
        <f>B116+C116</f>
        <v>4606</v>
      </c>
      <c r="E116" s="57"/>
    </row>
    <row r="117" spans="1:5" x14ac:dyDescent="0.4">
      <c r="A117" s="61" t="s">
        <v>116</v>
      </c>
      <c r="B117" s="63">
        <f>SUM(B9:B14)</f>
        <v>2210</v>
      </c>
      <c r="C117" s="63">
        <f>SUM(C9:C14)</f>
        <v>2144</v>
      </c>
      <c r="D117" s="59">
        <f>B117+C117</f>
        <v>4354</v>
      </c>
      <c r="E117" s="57"/>
    </row>
    <row r="118" spans="1:5" x14ac:dyDescent="0.4">
      <c r="A118" s="61" t="s">
        <v>117</v>
      </c>
      <c r="B118" s="63">
        <f>SUM(B15:B17)</f>
        <v>1172</v>
      </c>
      <c r="C118" s="63">
        <f>SUM(C15:C17)</f>
        <v>1067</v>
      </c>
      <c r="D118" s="59">
        <f>B118+C118</f>
        <v>2239</v>
      </c>
      <c r="E118" s="57"/>
    </row>
    <row r="119" spans="1:5" x14ac:dyDescent="0.4">
      <c r="A119" s="61" t="s">
        <v>145</v>
      </c>
      <c r="B119" s="63">
        <f>SUM(B116:B118)</f>
        <v>5737</v>
      </c>
      <c r="C119" s="63">
        <f>SUM(C116:C118)</f>
        <v>5462</v>
      </c>
      <c r="D119" s="63">
        <f>SUM(D116:D118)</f>
        <v>11199</v>
      </c>
      <c r="E119" s="65">
        <f>D119/D135</f>
        <v>0.12959705603258731</v>
      </c>
    </row>
    <row r="120" spans="1:5" x14ac:dyDescent="0.4">
      <c r="A120" s="57"/>
      <c r="B120" s="57"/>
      <c r="C120" s="57"/>
      <c r="D120" s="57"/>
      <c r="E120" s="57"/>
    </row>
    <row r="121" spans="1:5" x14ac:dyDescent="0.4">
      <c r="A121" s="56" t="s">
        <v>0</v>
      </c>
      <c r="B121" s="56" t="s">
        <v>1</v>
      </c>
      <c r="C121" s="56" t="s">
        <v>2</v>
      </c>
      <c r="D121" s="56" t="s">
        <v>3</v>
      </c>
      <c r="E121" s="57"/>
    </row>
    <row r="122" spans="1:5" x14ac:dyDescent="0.4">
      <c r="A122" s="56" t="s">
        <v>119</v>
      </c>
      <c r="B122" s="59">
        <f>SUM(B18:B20)</f>
        <v>1194</v>
      </c>
      <c r="C122" s="59">
        <f>SUM(C18:C20)</f>
        <v>1157</v>
      </c>
      <c r="D122" s="59">
        <f t="shared" ref="D122:D126" si="1">B122+C122</f>
        <v>2351</v>
      </c>
      <c r="E122" s="57"/>
    </row>
    <row r="123" spans="1:5" x14ac:dyDescent="0.4">
      <c r="A123" s="56" t="s">
        <v>120</v>
      </c>
      <c r="B123" s="59">
        <f>SUM(B21:B32)</f>
        <v>5915</v>
      </c>
      <c r="C123" s="59">
        <f>SUM(C21:C32)</f>
        <v>5488</v>
      </c>
      <c r="D123" s="59">
        <f t="shared" si="1"/>
        <v>11403</v>
      </c>
      <c r="E123" s="57"/>
    </row>
    <row r="124" spans="1:5" x14ac:dyDescent="0.4">
      <c r="A124" s="56" t="s">
        <v>121</v>
      </c>
      <c r="B124" s="59">
        <f>SUM(B33:B42)</f>
        <v>5642</v>
      </c>
      <c r="C124" s="59">
        <f>SUM(C33:C42)</f>
        <v>5350</v>
      </c>
      <c r="D124" s="59">
        <f t="shared" si="1"/>
        <v>10992</v>
      </c>
      <c r="E124" s="57"/>
    </row>
    <row r="125" spans="1:5" x14ac:dyDescent="0.4">
      <c r="A125" s="56" t="s">
        <v>122</v>
      </c>
      <c r="B125" s="59">
        <f>SUM(B43:B52)</f>
        <v>7320</v>
      </c>
      <c r="C125" s="59">
        <f>SUM(C43:C52)</f>
        <v>6710</v>
      </c>
      <c r="D125" s="59">
        <f t="shared" si="1"/>
        <v>14030</v>
      </c>
      <c r="E125" s="57"/>
    </row>
    <row r="126" spans="1:5" x14ac:dyDescent="0.4">
      <c r="A126" s="66" t="s">
        <v>123</v>
      </c>
      <c r="B126" s="59">
        <f>SUM(B53:B67)</f>
        <v>7462</v>
      </c>
      <c r="C126" s="59">
        <f>SUM(C53:C67)</f>
        <v>6955</v>
      </c>
      <c r="D126" s="59">
        <f t="shared" si="1"/>
        <v>14417</v>
      </c>
      <c r="E126" s="57"/>
    </row>
    <row r="127" spans="1:5" ht="24" x14ac:dyDescent="0.4">
      <c r="A127" s="61" t="s">
        <v>132</v>
      </c>
      <c r="B127" s="64">
        <f>SUM(B122:B126)</f>
        <v>27533</v>
      </c>
      <c r="C127" s="64">
        <f>SUM(C122:C126)</f>
        <v>25660</v>
      </c>
      <c r="D127" s="64">
        <f>SUM(D122:D126)</f>
        <v>53193</v>
      </c>
      <c r="E127" s="65">
        <f>D127/D135</f>
        <v>0.61555997870715395</v>
      </c>
    </row>
    <row r="128" spans="1:5" x14ac:dyDescent="0.4">
      <c r="A128" s="57"/>
      <c r="B128" s="57"/>
      <c r="C128" s="57"/>
      <c r="D128" s="57"/>
      <c r="E128" s="57"/>
    </row>
    <row r="129" spans="1:5" x14ac:dyDescent="0.4">
      <c r="A129" s="56" t="s">
        <v>0</v>
      </c>
      <c r="B129" s="56" t="s">
        <v>1</v>
      </c>
      <c r="C129" s="56" t="s">
        <v>2</v>
      </c>
      <c r="D129" s="56" t="s">
        <v>3</v>
      </c>
      <c r="E129" s="57"/>
    </row>
    <row r="130" spans="1:5" x14ac:dyDescent="0.4">
      <c r="A130" s="56" t="s">
        <v>125</v>
      </c>
      <c r="B130" s="59">
        <f>SUM(B68:B72)</f>
        <v>2518</v>
      </c>
      <c r="C130" s="59">
        <f>SUM(C68:C72)</f>
        <v>2803</v>
      </c>
      <c r="D130" s="59">
        <f t="shared" ref="D130:D131" si="2">B130+C130</f>
        <v>5321</v>
      </c>
      <c r="E130" s="57"/>
    </row>
    <row r="131" spans="1:5" x14ac:dyDescent="0.4">
      <c r="A131" s="66" t="s">
        <v>126</v>
      </c>
      <c r="B131" s="59">
        <f>SUM(B73:B113)</f>
        <v>7244</v>
      </c>
      <c r="C131" s="59">
        <f>SUM(C73:C113)</f>
        <v>9457</v>
      </c>
      <c r="D131" s="59">
        <f t="shared" si="2"/>
        <v>16701</v>
      </c>
      <c r="E131" s="57"/>
    </row>
    <row r="132" spans="1:5" x14ac:dyDescent="0.4">
      <c r="A132" s="61" t="s">
        <v>127</v>
      </c>
      <c r="B132" s="64">
        <f>SUM(B130:B131)</f>
        <v>9762</v>
      </c>
      <c r="C132" s="64">
        <f>SUM(C130:C131)</f>
        <v>12260</v>
      </c>
      <c r="D132" s="64">
        <f>SUM(D130:D131)</f>
        <v>22022</v>
      </c>
      <c r="E132" s="65">
        <f>D132/D135</f>
        <v>0.25484296526025874</v>
      </c>
    </row>
    <row r="133" spans="1:5" x14ac:dyDescent="0.4">
      <c r="A133" s="57"/>
      <c r="B133" s="57"/>
      <c r="C133" s="57"/>
      <c r="D133" s="57"/>
      <c r="E133" s="57"/>
    </row>
    <row r="134" spans="1:5" x14ac:dyDescent="0.4">
      <c r="A134" s="157" t="s">
        <v>128</v>
      </c>
      <c r="B134" s="56" t="s">
        <v>1</v>
      </c>
      <c r="C134" s="56" t="s">
        <v>2</v>
      </c>
      <c r="D134" s="56" t="s">
        <v>3</v>
      </c>
      <c r="E134" s="57"/>
    </row>
    <row r="135" spans="1:5" x14ac:dyDescent="0.4">
      <c r="A135" s="158"/>
      <c r="B135" s="59">
        <f>SUM(B3:B113)</f>
        <v>43032</v>
      </c>
      <c r="C135" s="59">
        <f>SUM(C3:C113)</f>
        <v>43382</v>
      </c>
      <c r="D135" s="59">
        <f>B135+C135</f>
        <v>86414</v>
      </c>
      <c r="E135" s="57"/>
    </row>
    <row r="137" spans="1:5" x14ac:dyDescent="0.4">
      <c r="A137" s="54" t="s">
        <v>129</v>
      </c>
    </row>
  </sheetData>
  <mergeCells count="2">
    <mergeCell ref="A1:E1"/>
    <mergeCell ref="A134:A135"/>
  </mergeCells>
  <phoneticPr fontId="16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7"/>
  <sheetViews>
    <sheetView topLeftCell="A98" workbookViewId="0">
      <selection activeCell="G110" sqref="G110"/>
    </sheetView>
  </sheetViews>
  <sheetFormatPr defaultRowHeight="18.75" x14ac:dyDescent="0.4"/>
  <cols>
    <col min="1" max="6" width="9" style="67"/>
    <col min="7" max="7" width="35.125" style="67" bestFit="1" customWidth="1"/>
    <col min="8" max="16384" width="9" style="67"/>
  </cols>
  <sheetData>
    <row r="1" spans="1:7" ht="19.5" x14ac:dyDescent="0.4">
      <c r="A1" s="159" t="str">
        <f>HLOOKUP("基準日",[7]データ貼り付けシート!$1:$2,2,FALSE)</f>
        <v>令和元年 7月31日</v>
      </c>
      <c r="B1" s="159"/>
      <c r="C1" s="159"/>
      <c r="D1" s="159"/>
      <c r="E1" s="159"/>
      <c r="G1" s="68"/>
    </row>
    <row r="2" spans="1:7" x14ac:dyDescent="0.4">
      <c r="A2" s="69" t="s">
        <v>0</v>
      </c>
      <c r="B2" s="69" t="s">
        <v>1</v>
      </c>
      <c r="C2" s="69" t="s">
        <v>2</v>
      </c>
      <c r="D2" s="69" t="s">
        <v>3</v>
      </c>
      <c r="E2" s="70"/>
    </row>
    <row r="3" spans="1:7" x14ac:dyDescent="0.4">
      <c r="A3" s="71" t="s">
        <v>165</v>
      </c>
      <c r="B3" s="72">
        <f>HLOOKUP(SUBSTITUTE(CONCATENATE(SUBSTITUTE(SUBSTITUTE(A3,"歳","")," ",""),"_男")," ",""),[7]データ貼り付けシート!$1:$2,2,FALSE)</f>
        <v>397</v>
      </c>
      <c r="C3" s="72">
        <f>HLOOKUP(SUBSTITUTE(CONCATENATE(SUBSTITUTE(SUBSTITUTE(A3,"歳","")," ",""),"_女")," ",""),[7]データ貼り付けシート!$1:$2,2,FALSE)</f>
        <v>370</v>
      </c>
      <c r="D3" s="72">
        <f>HLOOKUP(SUBSTITUTE(CONCATENATE(SUBSTITUTE(SUBSTITUTE(A3,"歳","")," ",""),"_全体")," ",""),[7]データ貼り付けシート!$1:$2,2,FALSE)</f>
        <v>767</v>
      </c>
      <c r="E3" s="70"/>
    </row>
    <row r="4" spans="1:7" x14ac:dyDescent="0.4">
      <c r="A4" s="71" t="s">
        <v>5</v>
      </c>
      <c r="B4" s="72">
        <f>HLOOKUP(SUBSTITUTE(CONCATENATE(SUBSTITUTE(SUBSTITUTE(A4,"歳","")," ",""),"_男")," ",""),[7]データ貼り付けシート!$1:$2,2,FALSE)</f>
        <v>401</v>
      </c>
      <c r="C4" s="72">
        <f>HLOOKUP(SUBSTITUTE(CONCATENATE(SUBSTITUTE(SUBSTITUTE(A4,"歳","")," ",""),"_女")," ",""),[7]データ貼り付けシート!$1:$2,2,FALSE)</f>
        <v>426</v>
      </c>
      <c r="D4" s="72">
        <f>HLOOKUP(SUBSTITUTE(CONCATENATE(SUBSTITUTE(SUBSTITUTE(A4,"歳","")," ",""),"_全体")," ",""),[7]データ貼り付けシート!$1:$2,2,FALSE)</f>
        <v>827</v>
      </c>
      <c r="E4" s="70"/>
    </row>
    <row r="5" spans="1:7" x14ac:dyDescent="0.4">
      <c r="A5" s="71" t="s">
        <v>6</v>
      </c>
      <c r="B5" s="72">
        <f>HLOOKUP(SUBSTITUTE(CONCATENATE(SUBSTITUTE(SUBSTITUTE(A5,"歳","")," ",""),"_男")," ",""),[7]データ貼り付けシート!$1:$2,2,FALSE)</f>
        <v>396</v>
      </c>
      <c r="C5" s="72">
        <f>HLOOKUP(SUBSTITUTE(CONCATENATE(SUBSTITUTE(SUBSTITUTE(A5,"歳","")," ",""),"_女")," ",""),[7]データ貼り付けシート!$1:$2,2,FALSE)</f>
        <v>326</v>
      </c>
      <c r="D5" s="72">
        <f>HLOOKUP(SUBSTITUTE(CONCATENATE(SUBSTITUTE(SUBSTITUTE(A5,"歳","")," ",""),"_全体")," ",""),[7]データ貼り付けシート!$1:$2,2,FALSE)</f>
        <v>722</v>
      </c>
      <c r="E5" s="70"/>
    </row>
    <row r="6" spans="1:7" x14ac:dyDescent="0.4">
      <c r="A6" s="71" t="s">
        <v>7</v>
      </c>
      <c r="B6" s="72">
        <f>HLOOKUP(SUBSTITUTE(CONCATENATE(SUBSTITUTE(SUBSTITUTE(A6,"歳","")," ",""),"_男")," ",""),[7]データ貼り付けシート!$1:$2,2,FALSE)</f>
        <v>436</v>
      </c>
      <c r="C6" s="72">
        <f>HLOOKUP(SUBSTITUTE(CONCATENATE(SUBSTITUTE(SUBSTITUTE(A6,"歳","")," ",""),"_女")," ",""),[7]データ貼り付けシート!$1:$2,2,FALSE)</f>
        <v>385</v>
      </c>
      <c r="D6" s="72">
        <f>HLOOKUP(SUBSTITUTE(CONCATENATE(SUBSTITUTE(SUBSTITUTE(A6,"歳","")," ",""),"_全体")," ",""),[7]データ貼り付けシート!$1:$2,2,FALSE)</f>
        <v>821</v>
      </c>
      <c r="E6" s="70"/>
    </row>
    <row r="7" spans="1:7" x14ac:dyDescent="0.4">
      <c r="A7" s="71" t="s">
        <v>8</v>
      </c>
      <c r="B7" s="72">
        <f>HLOOKUP(SUBSTITUTE(CONCATENATE(SUBSTITUTE(SUBSTITUTE(A7,"歳","")," ",""),"_男")," ",""),[7]データ貼り付けシート!$1:$2,2,FALSE)</f>
        <v>352</v>
      </c>
      <c r="C7" s="72">
        <f>HLOOKUP(SUBSTITUTE(CONCATENATE(SUBSTITUTE(SUBSTITUTE(A7,"歳","")," ",""),"_女")," ",""),[7]データ貼り付けシート!$1:$2,2,FALSE)</f>
        <v>364</v>
      </c>
      <c r="D7" s="72">
        <f>HLOOKUP(SUBSTITUTE(CONCATENATE(SUBSTITUTE(SUBSTITUTE(A7,"歳","")," ",""),"_全体")," ",""),[7]データ貼り付けシート!$1:$2,2,FALSE)</f>
        <v>716</v>
      </c>
      <c r="E7" s="70"/>
    </row>
    <row r="8" spans="1:7" x14ac:dyDescent="0.4">
      <c r="A8" s="71" t="s">
        <v>9</v>
      </c>
      <c r="B8" s="72">
        <f>HLOOKUP(SUBSTITUTE(CONCATENATE(SUBSTITUTE(SUBSTITUTE(A8,"歳","")," ",""),"_男")," ",""),[7]データ貼り付けシート!$1:$2,2,FALSE)</f>
        <v>376</v>
      </c>
      <c r="C8" s="72">
        <f>HLOOKUP(SUBSTITUTE(CONCATENATE(SUBSTITUTE(SUBSTITUTE(A8,"歳","")," ",""),"_女")," ",""),[7]データ貼り付けシート!$1:$2,2,FALSE)</f>
        <v>381</v>
      </c>
      <c r="D8" s="72">
        <f>HLOOKUP(SUBSTITUTE(CONCATENATE(SUBSTITUTE(SUBSTITUTE(A8,"歳","")," ",""),"_全体")," ",""),[7]データ貼り付けシート!$1:$2,2,FALSE)</f>
        <v>757</v>
      </c>
      <c r="E8" s="70"/>
    </row>
    <row r="9" spans="1:7" x14ac:dyDescent="0.4">
      <c r="A9" s="71" t="s">
        <v>10</v>
      </c>
      <c r="B9" s="72">
        <f>HLOOKUP(SUBSTITUTE(CONCATENATE(SUBSTITUTE(SUBSTITUTE(A9,"歳","")," ",""),"_男")," ",""),[7]データ貼り付けシート!$1:$2,2,FALSE)</f>
        <v>377</v>
      </c>
      <c r="C9" s="72">
        <f>HLOOKUP(SUBSTITUTE(CONCATENATE(SUBSTITUTE(SUBSTITUTE(A9,"歳","")," ",""),"_女")," ",""),[7]データ貼り付けシート!$1:$2,2,FALSE)</f>
        <v>306</v>
      </c>
      <c r="D9" s="72">
        <f>HLOOKUP(SUBSTITUTE(CONCATENATE(SUBSTITUTE(SUBSTITUTE(A9,"歳","")," ",""),"_全体")," ",""),[7]データ貼り付けシート!$1:$2,2,FALSE)</f>
        <v>683</v>
      </c>
      <c r="E9" s="70"/>
    </row>
    <row r="10" spans="1:7" x14ac:dyDescent="0.4">
      <c r="A10" s="71" t="s">
        <v>11</v>
      </c>
      <c r="B10" s="72">
        <f>HLOOKUP(SUBSTITUTE(CONCATENATE(SUBSTITUTE(SUBSTITUTE(A10,"歳","")," ",""),"_男")," ",""),[7]データ貼り付けシート!$1:$2,2,FALSE)</f>
        <v>351</v>
      </c>
      <c r="C10" s="72">
        <f>HLOOKUP(SUBSTITUTE(CONCATENATE(SUBSTITUTE(SUBSTITUTE(A10,"歳","")," ",""),"_女")," ",""),[7]データ貼り付けシート!$1:$2,2,FALSE)</f>
        <v>395</v>
      </c>
      <c r="D10" s="72">
        <f>HLOOKUP(SUBSTITUTE(CONCATENATE(SUBSTITUTE(SUBSTITUTE(A10,"歳","")," ",""),"_全体")," ",""),[7]データ貼り付けシート!$1:$2,2,FALSE)</f>
        <v>746</v>
      </c>
      <c r="E10" s="70"/>
    </row>
    <row r="11" spans="1:7" x14ac:dyDescent="0.4">
      <c r="A11" s="71" t="s">
        <v>12</v>
      </c>
      <c r="B11" s="72">
        <f>HLOOKUP(SUBSTITUTE(CONCATENATE(SUBSTITUTE(SUBSTITUTE(A11,"歳","")," ",""),"_男")," ",""),[7]データ貼り付けシート!$1:$2,2,FALSE)</f>
        <v>370</v>
      </c>
      <c r="C11" s="72">
        <f>HLOOKUP(SUBSTITUTE(CONCATENATE(SUBSTITUTE(SUBSTITUTE(A11,"歳","")," ",""),"_女")," ",""),[7]データ貼り付けシート!$1:$2,2,FALSE)</f>
        <v>333</v>
      </c>
      <c r="D11" s="72">
        <f>HLOOKUP(SUBSTITUTE(CONCATENATE(SUBSTITUTE(SUBSTITUTE(A11,"歳","")," ",""),"_全体")," ",""),[7]データ貼り付けシート!$1:$2,2,FALSE)</f>
        <v>703</v>
      </c>
      <c r="E11" s="70"/>
    </row>
    <row r="12" spans="1:7" x14ac:dyDescent="0.4">
      <c r="A12" s="71" t="s">
        <v>13</v>
      </c>
      <c r="B12" s="72">
        <f>HLOOKUP(SUBSTITUTE(CONCATENATE(SUBSTITUTE(SUBSTITUTE(A12,"歳","")," ",""),"_男")," ",""),[7]データ貼り付けシート!$1:$2,2,FALSE)</f>
        <v>400</v>
      </c>
      <c r="C12" s="72">
        <f>HLOOKUP(SUBSTITUTE(CONCATENATE(SUBSTITUTE(SUBSTITUTE(A12,"歳","")," ",""),"_女")," ",""),[7]データ貼り付けシート!$1:$2,2,FALSE)</f>
        <v>366</v>
      </c>
      <c r="D12" s="72">
        <f>HLOOKUP(SUBSTITUTE(CONCATENATE(SUBSTITUTE(SUBSTITUTE(A12,"歳","")," ",""),"_全体")," ",""),[7]データ貼り付けシート!$1:$2,2,FALSE)</f>
        <v>766</v>
      </c>
      <c r="E12" s="70"/>
    </row>
    <row r="13" spans="1:7" x14ac:dyDescent="0.4">
      <c r="A13" s="71" t="s">
        <v>14</v>
      </c>
      <c r="B13" s="72">
        <f>HLOOKUP(SUBSTITUTE(CONCATENATE(SUBSTITUTE(SUBSTITUTE(A13,"歳","")," ",""),"_男")," ",""),[7]データ貼り付けシート!$1:$2,2,FALSE)</f>
        <v>367</v>
      </c>
      <c r="C13" s="72">
        <f>HLOOKUP(SUBSTITUTE(CONCATENATE(SUBSTITUTE(SUBSTITUTE(A13,"歳","")," ",""),"_女")," ",""),[7]データ貼り付けシート!$1:$2,2,FALSE)</f>
        <v>353</v>
      </c>
      <c r="D13" s="72">
        <f>HLOOKUP(SUBSTITUTE(CONCATENATE(SUBSTITUTE(SUBSTITUTE(A13,"歳","")," ",""),"_全体")," ",""),[7]データ貼り付けシート!$1:$2,2,FALSE)</f>
        <v>720</v>
      </c>
      <c r="E13" s="70"/>
    </row>
    <row r="14" spans="1:7" x14ac:dyDescent="0.4">
      <c r="A14" s="71" t="s">
        <v>15</v>
      </c>
      <c r="B14" s="72">
        <f>HLOOKUP(SUBSTITUTE(CONCATENATE(SUBSTITUTE(SUBSTITUTE(A14,"歳","")," ",""),"_男")," ",""),[7]データ貼り付けシート!$1:$2,2,FALSE)</f>
        <v>338</v>
      </c>
      <c r="C14" s="72">
        <f>HLOOKUP(SUBSTITUTE(CONCATENATE(SUBSTITUTE(SUBSTITUTE(A14,"歳","")," ",""),"_女")," ",""),[7]データ貼り付けシート!$1:$2,2,FALSE)</f>
        <v>376</v>
      </c>
      <c r="D14" s="72">
        <f>HLOOKUP(SUBSTITUTE(CONCATENATE(SUBSTITUTE(SUBSTITUTE(A14,"歳","")," ",""),"_全体")," ",""),[7]データ貼り付けシート!$1:$2,2,FALSE)</f>
        <v>714</v>
      </c>
      <c r="E14" s="70"/>
    </row>
    <row r="15" spans="1:7" x14ac:dyDescent="0.4">
      <c r="A15" s="71" t="s">
        <v>16</v>
      </c>
      <c r="B15" s="72">
        <f>HLOOKUP(SUBSTITUTE(CONCATENATE(SUBSTITUTE(SUBSTITUTE(A15,"歳","")," ",""),"_男")," ",""),[7]データ貼り付けシート!$1:$2,2,FALSE)</f>
        <v>379</v>
      </c>
      <c r="C15" s="72">
        <f>HLOOKUP(SUBSTITUTE(CONCATENATE(SUBSTITUTE(SUBSTITUTE(A15,"歳","")," ",""),"_女")," ",""),[7]データ貼り付けシート!$1:$2,2,FALSE)</f>
        <v>351</v>
      </c>
      <c r="D15" s="72">
        <f>HLOOKUP(SUBSTITUTE(CONCATENATE(SUBSTITUTE(SUBSTITUTE(A15,"歳","")," ",""),"_全体")," ",""),[7]データ貼り付けシート!$1:$2,2,FALSE)</f>
        <v>730</v>
      </c>
      <c r="E15" s="70"/>
    </row>
    <row r="16" spans="1:7" x14ac:dyDescent="0.4">
      <c r="A16" s="71" t="s">
        <v>17</v>
      </c>
      <c r="B16" s="72">
        <f>HLOOKUP(SUBSTITUTE(CONCATENATE(SUBSTITUTE(SUBSTITUTE(A16,"歳","")," ",""),"_男")," ",""),[7]データ貼り付けシート!$1:$2,2,FALSE)</f>
        <v>386</v>
      </c>
      <c r="C16" s="72">
        <f>HLOOKUP(SUBSTITUTE(CONCATENATE(SUBSTITUTE(SUBSTITUTE(A16,"歳","")," ",""),"_女")," ",""),[7]データ貼り付けシート!$1:$2,2,FALSE)</f>
        <v>361</v>
      </c>
      <c r="D16" s="72">
        <f>HLOOKUP(SUBSTITUTE(CONCATENATE(SUBSTITUTE(SUBSTITUTE(A16,"歳","")," ",""),"_全体")," ",""),[7]データ貼り付けシート!$1:$2,2,FALSE)</f>
        <v>747</v>
      </c>
      <c r="E16" s="70"/>
    </row>
    <row r="17" spans="1:5" x14ac:dyDescent="0.4">
      <c r="A17" s="71" t="s">
        <v>18</v>
      </c>
      <c r="B17" s="72">
        <f>HLOOKUP(SUBSTITUTE(CONCATENATE(SUBSTITUTE(SUBSTITUTE(A17,"歳","")," ",""),"_男")," ",""),[7]データ貼り付けシート!$1:$2,2,FALSE)</f>
        <v>408</v>
      </c>
      <c r="C17" s="72">
        <f>HLOOKUP(SUBSTITUTE(CONCATENATE(SUBSTITUTE(SUBSTITUTE(A17,"歳","")," ",""),"_女")," ",""),[7]データ貼り付けシート!$1:$2,2,FALSE)</f>
        <v>364</v>
      </c>
      <c r="D17" s="72">
        <f>HLOOKUP(SUBSTITUTE(CONCATENATE(SUBSTITUTE(SUBSTITUTE(A17,"歳","")," ",""),"_全体")," ",""),[7]データ貼り付けシート!$1:$2,2,FALSE)</f>
        <v>772</v>
      </c>
      <c r="E17" s="70"/>
    </row>
    <row r="18" spans="1:5" x14ac:dyDescent="0.4">
      <c r="A18" s="71" t="s">
        <v>19</v>
      </c>
      <c r="B18" s="72">
        <f>HLOOKUP(SUBSTITUTE(CONCATENATE(SUBSTITUTE(SUBSTITUTE(A18,"歳","")," ",""),"_男")," ",""),[7]データ貼り付けシート!$1:$2,2,FALSE)</f>
        <v>395</v>
      </c>
      <c r="C18" s="72">
        <f>HLOOKUP(SUBSTITUTE(CONCATENATE(SUBSTITUTE(SUBSTITUTE(A18,"歳","")," ",""),"_女")," ",""),[7]データ貼り付けシート!$1:$2,2,FALSE)</f>
        <v>366</v>
      </c>
      <c r="D18" s="72">
        <f>HLOOKUP(SUBSTITUTE(CONCATENATE(SUBSTITUTE(SUBSTITUTE(A18,"歳","")," ",""),"_全体")," ",""),[7]データ貼り付けシート!$1:$2,2,FALSE)</f>
        <v>761</v>
      </c>
      <c r="E18" s="70"/>
    </row>
    <row r="19" spans="1:5" x14ac:dyDescent="0.4">
      <c r="A19" s="71" t="s">
        <v>20</v>
      </c>
      <c r="B19" s="72">
        <f>HLOOKUP(SUBSTITUTE(CONCATENATE(SUBSTITUTE(SUBSTITUTE(A19,"歳","")," ",""),"_男")," ",""),[7]データ貼り付けシート!$1:$2,2,FALSE)</f>
        <v>368</v>
      </c>
      <c r="C19" s="72">
        <f>HLOOKUP(SUBSTITUTE(CONCATENATE(SUBSTITUTE(SUBSTITUTE(A19,"歳","")," ",""),"_女")," ",""),[7]データ貼り付けシート!$1:$2,2,FALSE)</f>
        <v>369</v>
      </c>
      <c r="D19" s="72">
        <f>HLOOKUP(SUBSTITUTE(CONCATENATE(SUBSTITUTE(SUBSTITUTE(A19,"歳","")," ",""),"_全体")," ",""),[7]データ貼り付けシート!$1:$2,2,FALSE)</f>
        <v>737</v>
      </c>
      <c r="E19" s="70"/>
    </row>
    <row r="20" spans="1:5" x14ac:dyDescent="0.4">
      <c r="A20" s="71" t="s">
        <v>21</v>
      </c>
      <c r="B20" s="72">
        <f>HLOOKUP(SUBSTITUTE(CONCATENATE(SUBSTITUTE(SUBSTITUTE(A20,"歳","")," ",""),"_男")," ",""),[7]データ貼り付けシート!$1:$2,2,FALSE)</f>
        <v>425</v>
      </c>
      <c r="C20" s="72">
        <f>HLOOKUP(SUBSTITUTE(CONCATENATE(SUBSTITUTE(SUBSTITUTE(A20,"歳","")," ",""),"_女")," ",""),[7]データ貼り付けシート!$1:$2,2,FALSE)</f>
        <v>418</v>
      </c>
      <c r="D20" s="72">
        <f>HLOOKUP(SUBSTITUTE(CONCATENATE(SUBSTITUTE(SUBSTITUTE(A20,"歳","")," ",""),"_全体")," ",""),[7]データ貼り付けシート!$1:$2,2,FALSE)</f>
        <v>843</v>
      </c>
      <c r="E20" s="70"/>
    </row>
    <row r="21" spans="1:5" x14ac:dyDescent="0.4">
      <c r="A21" s="71" t="s">
        <v>22</v>
      </c>
      <c r="B21" s="72">
        <f>HLOOKUP(SUBSTITUTE(CONCATENATE(SUBSTITUTE(SUBSTITUTE(A21,"歳","")," ",""),"_男")," ",""),[7]データ貼り付けシート!$1:$2,2,FALSE)</f>
        <v>449</v>
      </c>
      <c r="C21" s="72">
        <f>HLOOKUP(SUBSTITUTE(CONCATENATE(SUBSTITUTE(SUBSTITUTE(A21,"歳","")," ",""),"_女")," ",""),[7]データ貼り付けシート!$1:$2,2,FALSE)</f>
        <v>383</v>
      </c>
      <c r="D21" s="72">
        <f>HLOOKUP(SUBSTITUTE(CONCATENATE(SUBSTITUTE(SUBSTITUTE(A21,"歳","")," ",""),"_全体")," ",""),[7]データ貼り付けシート!$1:$2,2,FALSE)</f>
        <v>832</v>
      </c>
      <c r="E21" s="70"/>
    </row>
    <row r="22" spans="1:5" x14ac:dyDescent="0.4">
      <c r="A22" s="71" t="s">
        <v>23</v>
      </c>
      <c r="B22" s="72">
        <f>HLOOKUP(SUBSTITUTE(CONCATENATE(SUBSTITUTE(SUBSTITUTE(A22,"歳","")," ",""),"_男")," ",""),[7]データ貼り付けシート!$1:$2,2,FALSE)</f>
        <v>460</v>
      </c>
      <c r="C22" s="72">
        <f>HLOOKUP(SUBSTITUTE(CONCATENATE(SUBSTITUTE(SUBSTITUTE(A22,"歳","")," ",""),"_女")," ",""),[7]データ貼り付けシート!$1:$2,2,FALSE)</f>
        <v>434</v>
      </c>
      <c r="D22" s="72">
        <f>HLOOKUP(SUBSTITUTE(CONCATENATE(SUBSTITUTE(SUBSTITUTE(A22,"歳","")," ",""),"_全体")," ",""),[7]データ貼り付けシート!$1:$2,2,FALSE)</f>
        <v>894</v>
      </c>
      <c r="E22" s="70"/>
    </row>
    <row r="23" spans="1:5" x14ac:dyDescent="0.4">
      <c r="A23" s="71" t="s">
        <v>24</v>
      </c>
      <c r="B23" s="72">
        <f>HLOOKUP(SUBSTITUTE(CONCATENATE(SUBSTITUTE(SUBSTITUTE(A23,"歳","")," ",""),"_男")," ",""),[7]データ貼り付けシート!$1:$2,2,FALSE)</f>
        <v>475</v>
      </c>
      <c r="C23" s="72">
        <f>HLOOKUP(SUBSTITUTE(CONCATENATE(SUBSTITUTE(SUBSTITUTE(A23,"歳","")," ",""),"_女")," ",""),[7]データ貼り付けシート!$1:$2,2,FALSE)</f>
        <v>430</v>
      </c>
      <c r="D23" s="72">
        <f>HLOOKUP(SUBSTITUTE(CONCATENATE(SUBSTITUTE(SUBSTITUTE(A23,"歳","")," ",""),"_全体")," ",""),[7]データ貼り付けシート!$1:$2,2,FALSE)</f>
        <v>905</v>
      </c>
      <c r="E23" s="70"/>
    </row>
    <row r="24" spans="1:5" x14ac:dyDescent="0.4">
      <c r="A24" s="71" t="s">
        <v>25</v>
      </c>
      <c r="B24" s="72">
        <f>HLOOKUP(SUBSTITUTE(CONCATENATE(SUBSTITUTE(SUBSTITUTE(A24,"歳","")," ",""),"_男")," ",""),[7]データ貼り付けシート!$1:$2,2,FALSE)</f>
        <v>492</v>
      </c>
      <c r="C24" s="72">
        <f>HLOOKUP(SUBSTITUTE(CONCATENATE(SUBSTITUTE(SUBSTITUTE(A24,"歳","")," ",""),"_女")," ",""),[7]データ貼り付けシート!$1:$2,2,FALSE)</f>
        <v>412</v>
      </c>
      <c r="D24" s="72">
        <f>HLOOKUP(SUBSTITUTE(CONCATENATE(SUBSTITUTE(SUBSTITUTE(A24,"歳","")," ",""),"_全体")," ",""),[7]データ貼り付けシート!$1:$2,2,FALSE)</f>
        <v>904</v>
      </c>
      <c r="E24" s="70"/>
    </row>
    <row r="25" spans="1:5" x14ac:dyDescent="0.4">
      <c r="A25" s="71" t="s">
        <v>26</v>
      </c>
      <c r="B25" s="72">
        <f>HLOOKUP(SUBSTITUTE(CONCATENATE(SUBSTITUTE(SUBSTITUTE(A25,"歳","")," ",""),"_男")," ",""),[7]データ貼り付けシート!$1:$2,2,FALSE)</f>
        <v>461</v>
      </c>
      <c r="C25" s="72">
        <f>HLOOKUP(SUBSTITUTE(CONCATENATE(SUBSTITUTE(SUBSTITUTE(A25,"歳","")," ",""),"_女")," ",""),[7]データ貼り付けシート!$1:$2,2,FALSE)</f>
        <v>493</v>
      </c>
      <c r="D25" s="72">
        <f>HLOOKUP(SUBSTITUTE(CONCATENATE(SUBSTITUTE(SUBSTITUTE(A25,"歳","")," ",""),"_全体")," ",""),[7]データ貼り付けシート!$1:$2,2,FALSE)</f>
        <v>954</v>
      </c>
      <c r="E25" s="70"/>
    </row>
    <row r="26" spans="1:5" x14ac:dyDescent="0.4">
      <c r="A26" s="71" t="s">
        <v>27</v>
      </c>
      <c r="B26" s="72">
        <f>HLOOKUP(SUBSTITUTE(CONCATENATE(SUBSTITUTE(SUBSTITUTE(A26,"歳","")," ",""),"_男")," ",""),[7]データ貼り付けシート!$1:$2,2,FALSE)</f>
        <v>500</v>
      </c>
      <c r="C26" s="72">
        <f>HLOOKUP(SUBSTITUTE(CONCATENATE(SUBSTITUTE(SUBSTITUTE(A26,"歳","")," ",""),"_女")," ",""),[7]データ貼り付けシート!$1:$2,2,FALSE)</f>
        <v>480</v>
      </c>
      <c r="D26" s="72">
        <f>HLOOKUP(SUBSTITUTE(CONCATENATE(SUBSTITUTE(SUBSTITUTE(A26,"歳","")," ",""),"_全体")," ",""),[7]データ貼り付けシート!$1:$2,2,FALSE)</f>
        <v>980</v>
      </c>
      <c r="E26" s="70"/>
    </row>
    <row r="27" spans="1:5" x14ac:dyDescent="0.4">
      <c r="A27" s="71" t="s">
        <v>28</v>
      </c>
      <c r="B27" s="72">
        <f>HLOOKUP(SUBSTITUTE(CONCATENATE(SUBSTITUTE(SUBSTITUTE(A27,"歳","")," ",""),"_男")," ",""),[7]データ貼り付けシート!$1:$2,2,FALSE)</f>
        <v>489</v>
      </c>
      <c r="C27" s="72">
        <f>HLOOKUP(SUBSTITUTE(CONCATENATE(SUBSTITUTE(SUBSTITUTE(A27,"歳","")," ",""),"_女")," ",""),[7]データ貼り付けシート!$1:$2,2,FALSE)</f>
        <v>441</v>
      </c>
      <c r="D27" s="72">
        <f>HLOOKUP(SUBSTITUTE(CONCATENATE(SUBSTITUTE(SUBSTITUTE(A27,"歳","")," ",""),"_全体")," ",""),[7]データ貼り付けシート!$1:$2,2,FALSE)</f>
        <v>930</v>
      </c>
      <c r="E27" s="70"/>
    </row>
    <row r="28" spans="1:5" x14ac:dyDescent="0.4">
      <c r="A28" s="71" t="s">
        <v>29</v>
      </c>
      <c r="B28" s="72">
        <f>HLOOKUP(SUBSTITUTE(CONCATENATE(SUBSTITUTE(SUBSTITUTE(A28,"歳","")," ",""),"_男")," ",""),[7]データ貼り付けシート!$1:$2,2,FALSE)</f>
        <v>530</v>
      </c>
      <c r="C28" s="72">
        <f>HLOOKUP(SUBSTITUTE(CONCATENATE(SUBSTITUTE(SUBSTITUTE(A28,"歳","")," ",""),"_女")," ",""),[7]データ貼り付けシート!$1:$2,2,FALSE)</f>
        <v>432</v>
      </c>
      <c r="D28" s="72">
        <f>HLOOKUP(SUBSTITUTE(CONCATENATE(SUBSTITUTE(SUBSTITUTE(A28,"歳","")," ",""),"_全体")," ",""),[7]データ貼り付けシート!$1:$2,2,FALSE)</f>
        <v>962</v>
      </c>
      <c r="E28" s="70"/>
    </row>
    <row r="29" spans="1:5" x14ac:dyDescent="0.4">
      <c r="A29" s="71" t="s">
        <v>30</v>
      </c>
      <c r="B29" s="72">
        <f>HLOOKUP(SUBSTITUTE(CONCATENATE(SUBSTITUTE(SUBSTITUTE(A29,"歳","")," ",""),"_男")," ",""),[7]データ貼り付けシート!$1:$2,2,FALSE)</f>
        <v>514</v>
      </c>
      <c r="C29" s="72">
        <f>HLOOKUP(SUBSTITUTE(CONCATENATE(SUBSTITUTE(SUBSTITUTE(A29,"歳","")," ",""),"_女")," ",""),[7]データ貼り付けシート!$1:$2,2,FALSE)</f>
        <v>476</v>
      </c>
      <c r="D29" s="72">
        <f>HLOOKUP(SUBSTITUTE(CONCATENATE(SUBSTITUTE(SUBSTITUTE(A29,"歳","")," ",""),"_全体")," ",""),[7]データ貼り付けシート!$1:$2,2,FALSE)</f>
        <v>990</v>
      </c>
      <c r="E29" s="70"/>
    </row>
    <row r="30" spans="1:5" x14ac:dyDescent="0.4">
      <c r="A30" s="71" t="s">
        <v>31</v>
      </c>
      <c r="B30" s="72">
        <f>HLOOKUP(SUBSTITUTE(CONCATENATE(SUBSTITUTE(SUBSTITUTE(A30,"歳","")," ",""),"_男")," ",""),[7]データ貼り付けシート!$1:$2,2,FALSE)</f>
        <v>508</v>
      </c>
      <c r="C30" s="72">
        <f>HLOOKUP(SUBSTITUTE(CONCATENATE(SUBSTITUTE(SUBSTITUTE(A30,"歳","")," ",""),"_女")," ",""),[7]データ貼り付けシート!$1:$2,2,FALSE)</f>
        <v>477</v>
      </c>
      <c r="D30" s="72">
        <f>HLOOKUP(SUBSTITUTE(CONCATENATE(SUBSTITUTE(SUBSTITUTE(A30,"歳","")," ",""),"_全体")," ",""),[7]データ貼り付けシート!$1:$2,2,FALSE)</f>
        <v>985</v>
      </c>
      <c r="E30" s="70"/>
    </row>
    <row r="31" spans="1:5" x14ac:dyDescent="0.4">
      <c r="A31" s="71" t="s">
        <v>32</v>
      </c>
      <c r="B31" s="72">
        <f>HLOOKUP(SUBSTITUTE(CONCATENATE(SUBSTITUTE(SUBSTITUTE(A31,"歳","")," ",""),"_男")," ",""),[7]データ貼り付けシート!$1:$2,2,FALSE)</f>
        <v>533</v>
      </c>
      <c r="C31" s="72">
        <f>HLOOKUP(SUBSTITUTE(CONCATENATE(SUBSTITUTE(SUBSTITUTE(A31,"歳","")," ",""),"_女")," ",""),[7]データ貼り付けシート!$1:$2,2,FALSE)</f>
        <v>522</v>
      </c>
      <c r="D31" s="72">
        <f>HLOOKUP(SUBSTITUTE(CONCATENATE(SUBSTITUTE(SUBSTITUTE(A31,"歳","")," ",""),"_全体")," ",""),[7]データ貼り付けシート!$1:$2,2,FALSE)</f>
        <v>1055</v>
      </c>
      <c r="E31" s="70"/>
    </row>
    <row r="32" spans="1:5" x14ac:dyDescent="0.4">
      <c r="A32" s="71" t="s">
        <v>33</v>
      </c>
      <c r="B32" s="72">
        <f>HLOOKUP(SUBSTITUTE(CONCATENATE(SUBSTITUTE(SUBSTITUTE(A32,"歳","")," ",""),"_男")," ",""),[7]データ貼り付けシート!$1:$2,2,FALSE)</f>
        <v>509</v>
      </c>
      <c r="C32" s="72">
        <f>HLOOKUP(SUBSTITUTE(CONCATENATE(SUBSTITUTE(SUBSTITUTE(A32,"歳","")," ",""),"_女")," ",""),[7]データ貼り付けシート!$1:$2,2,FALSE)</f>
        <v>545</v>
      </c>
      <c r="D32" s="72">
        <f>HLOOKUP(SUBSTITUTE(CONCATENATE(SUBSTITUTE(SUBSTITUTE(A32,"歳","")," ",""),"_全体")," ",""),[7]データ貼り付けシート!$1:$2,2,FALSE)</f>
        <v>1054</v>
      </c>
      <c r="E32" s="70"/>
    </row>
    <row r="33" spans="1:5" x14ac:dyDescent="0.4">
      <c r="A33" s="71" t="s">
        <v>34</v>
      </c>
      <c r="B33" s="72">
        <f>HLOOKUP(SUBSTITUTE(CONCATENATE(SUBSTITUTE(SUBSTITUTE(A33,"歳","")," ",""),"_男")," ",""),[7]データ貼り付けシート!$1:$2,2,FALSE)</f>
        <v>555</v>
      </c>
      <c r="C33" s="72">
        <f>HLOOKUP(SUBSTITUTE(CONCATENATE(SUBSTITUTE(SUBSTITUTE(A33,"歳","")," ",""),"_女")," ",""),[7]データ貼り付けシート!$1:$2,2,FALSE)</f>
        <v>524</v>
      </c>
      <c r="D33" s="72">
        <f>HLOOKUP(SUBSTITUTE(CONCATENATE(SUBSTITUTE(SUBSTITUTE(A33,"歳","")," ",""),"_全体")," ",""),[7]データ貼り付けシート!$1:$2,2,FALSE)</f>
        <v>1079</v>
      </c>
      <c r="E33" s="70"/>
    </row>
    <row r="34" spans="1:5" x14ac:dyDescent="0.4">
      <c r="A34" s="71" t="s">
        <v>35</v>
      </c>
      <c r="B34" s="72">
        <f>HLOOKUP(SUBSTITUTE(CONCATENATE(SUBSTITUTE(SUBSTITUTE(A34,"歳","")," ",""),"_男")," ",""),[7]データ貼り付けシート!$1:$2,2,FALSE)</f>
        <v>595</v>
      </c>
      <c r="C34" s="72">
        <f>HLOOKUP(SUBSTITUTE(CONCATENATE(SUBSTITUTE(SUBSTITUTE(A34,"歳","")," ",""),"_女")," ",""),[7]データ貼り付けシート!$1:$2,2,FALSE)</f>
        <v>540</v>
      </c>
      <c r="D34" s="72">
        <f>HLOOKUP(SUBSTITUTE(CONCATENATE(SUBSTITUTE(SUBSTITUTE(A34,"歳","")," ",""),"_全体")," ",""),[7]データ貼り付けシート!$1:$2,2,FALSE)</f>
        <v>1135</v>
      </c>
      <c r="E34" s="70"/>
    </row>
    <row r="35" spans="1:5" x14ac:dyDescent="0.4">
      <c r="A35" s="71" t="s">
        <v>36</v>
      </c>
      <c r="B35" s="72">
        <f>HLOOKUP(SUBSTITUTE(CONCATENATE(SUBSTITUTE(SUBSTITUTE(A35,"歳","")," ",""),"_男")," ",""),[7]データ貼り付けシート!$1:$2,2,FALSE)</f>
        <v>528</v>
      </c>
      <c r="C35" s="72">
        <f>HLOOKUP(SUBSTITUTE(CONCATENATE(SUBSTITUTE(SUBSTITUTE(A35,"歳","")," ",""),"_女")," ",""),[7]データ貼り付けシート!$1:$2,2,FALSE)</f>
        <v>523</v>
      </c>
      <c r="D35" s="72">
        <f>HLOOKUP(SUBSTITUTE(CONCATENATE(SUBSTITUTE(SUBSTITUTE(A35,"歳","")," ",""),"_全体")," ",""),[7]データ貼り付けシート!$1:$2,2,FALSE)</f>
        <v>1051</v>
      </c>
      <c r="E35" s="70"/>
    </row>
    <row r="36" spans="1:5" x14ac:dyDescent="0.4">
      <c r="A36" s="71" t="s">
        <v>37</v>
      </c>
      <c r="B36" s="72">
        <f>HLOOKUP(SUBSTITUTE(CONCATENATE(SUBSTITUTE(SUBSTITUTE(A36,"歳","")," ",""),"_男")," ",""),[7]データ貼り付けシート!$1:$2,2,FALSE)</f>
        <v>560</v>
      </c>
      <c r="C36" s="72">
        <f>HLOOKUP(SUBSTITUTE(CONCATENATE(SUBSTITUTE(SUBSTITUTE(A36,"歳","")," ",""),"_女")," ",""),[7]データ貼り付けシート!$1:$2,2,FALSE)</f>
        <v>526</v>
      </c>
      <c r="D36" s="72">
        <f>HLOOKUP(SUBSTITUTE(CONCATENATE(SUBSTITUTE(SUBSTITUTE(A36,"歳","")," ",""),"_全体")," ",""),[7]データ貼り付けシート!$1:$2,2,FALSE)</f>
        <v>1086</v>
      </c>
      <c r="E36" s="70"/>
    </row>
    <row r="37" spans="1:5" x14ac:dyDescent="0.4">
      <c r="A37" s="71" t="s">
        <v>38</v>
      </c>
      <c r="B37" s="72">
        <f>HLOOKUP(SUBSTITUTE(CONCATENATE(SUBSTITUTE(SUBSTITUTE(A37,"歳","")," ",""),"_男")," ",""),[7]データ貼り付けシート!$1:$2,2,FALSE)</f>
        <v>538</v>
      </c>
      <c r="C37" s="72">
        <f>HLOOKUP(SUBSTITUTE(CONCATENATE(SUBSTITUTE(SUBSTITUTE(A37,"歳","")," ",""),"_女")," ",""),[7]データ貼り付けシート!$1:$2,2,FALSE)</f>
        <v>507</v>
      </c>
      <c r="D37" s="72">
        <f>HLOOKUP(SUBSTITUTE(CONCATENATE(SUBSTITUTE(SUBSTITUTE(A37,"歳","")," ",""),"_全体")," ",""),[7]データ貼り付けシート!$1:$2,2,FALSE)</f>
        <v>1045</v>
      </c>
      <c r="E37" s="70"/>
    </row>
    <row r="38" spans="1:5" x14ac:dyDescent="0.4">
      <c r="A38" s="71" t="s">
        <v>39</v>
      </c>
      <c r="B38" s="72">
        <f>HLOOKUP(SUBSTITUTE(CONCATENATE(SUBSTITUTE(SUBSTITUTE(A38,"歳","")," ",""),"_男")," ",""),[7]データ貼り付けシート!$1:$2,2,FALSE)</f>
        <v>580</v>
      </c>
      <c r="C38" s="72">
        <f>HLOOKUP(SUBSTITUTE(CONCATENATE(SUBSTITUTE(SUBSTITUTE(A38,"歳","")," ",""),"_女")," ",""),[7]データ貼り付けシート!$1:$2,2,FALSE)</f>
        <v>538</v>
      </c>
      <c r="D38" s="72">
        <f>HLOOKUP(SUBSTITUTE(CONCATENATE(SUBSTITUTE(SUBSTITUTE(A38,"歳","")," ",""),"_全体")," ",""),[7]データ貼り付けシート!$1:$2,2,FALSE)</f>
        <v>1118</v>
      </c>
      <c r="E38" s="70"/>
    </row>
    <row r="39" spans="1:5" x14ac:dyDescent="0.4">
      <c r="A39" s="71" t="s">
        <v>40</v>
      </c>
      <c r="B39" s="72">
        <f>HLOOKUP(SUBSTITUTE(CONCATENATE(SUBSTITUTE(SUBSTITUTE(A39,"歳","")," ",""),"_男")," ",""),[7]データ貼り付けシート!$1:$2,2,FALSE)</f>
        <v>578</v>
      </c>
      <c r="C39" s="72">
        <f>HLOOKUP(SUBSTITUTE(CONCATENATE(SUBSTITUTE(SUBSTITUTE(A39,"歳","")," ",""),"_女")," ",""),[7]データ貼り付けシート!$1:$2,2,FALSE)</f>
        <v>572</v>
      </c>
      <c r="D39" s="72">
        <f>HLOOKUP(SUBSTITUTE(CONCATENATE(SUBSTITUTE(SUBSTITUTE(A39,"歳","")," ",""),"_全体")," ",""),[7]データ貼り付けシート!$1:$2,2,FALSE)</f>
        <v>1150</v>
      </c>
      <c r="E39" s="70"/>
    </row>
    <row r="40" spans="1:5" x14ac:dyDescent="0.4">
      <c r="A40" s="71" t="s">
        <v>41</v>
      </c>
      <c r="B40" s="72">
        <f>HLOOKUP(SUBSTITUTE(CONCATENATE(SUBSTITUTE(SUBSTITUTE(A40,"歳","")," ",""),"_男")," ",""),[7]データ貼り付けシート!$1:$2,2,FALSE)</f>
        <v>565</v>
      </c>
      <c r="C40" s="72">
        <f>HLOOKUP(SUBSTITUTE(CONCATENATE(SUBSTITUTE(SUBSTITUTE(A40,"歳","")," ",""),"_女")," ",""),[7]データ貼り付けシート!$1:$2,2,FALSE)</f>
        <v>553</v>
      </c>
      <c r="D40" s="72">
        <f>HLOOKUP(SUBSTITUTE(CONCATENATE(SUBSTITUTE(SUBSTITUTE(A40,"歳","")," ",""),"_全体")," ",""),[7]データ貼り付けシート!$1:$2,2,FALSE)</f>
        <v>1118</v>
      </c>
      <c r="E40" s="70"/>
    </row>
    <row r="41" spans="1:5" x14ac:dyDescent="0.4">
      <c r="A41" s="71" t="s">
        <v>42</v>
      </c>
      <c r="B41" s="72">
        <f>HLOOKUP(SUBSTITUTE(CONCATENATE(SUBSTITUTE(SUBSTITUTE(A41,"歳","")," ",""),"_男")," ",""),[7]データ貼り付けシート!$1:$2,2,FALSE)</f>
        <v>588</v>
      </c>
      <c r="C41" s="72">
        <f>HLOOKUP(SUBSTITUTE(CONCATENATE(SUBSTITUTE(SUBSTITUTE(A41,"歳","")," ",""),"_女")," ",""),[7]データ貼り付けシート!$1:$2,2,FALSE)</f>
        <v>518</v>
      </c>
      <c r="D41" s="72">
        <f>HLOOKUP(SUBSTITUTE(CONCATENATE(SUBSTITUTE(SUBSTITUTE(A41,"歳","")," ",""),"_全体")," ",""),[7]データ貼り付けシート!$1:$2,2,FALSE)</f>
        <v>1106</v>
      </c>
      <c r="E41" s="70"/>
    </row>
    <row r="42" spans="1:5" x14ac:dyDescent="0.4">
      <c r="A42" s="71" t="s">
        <v>43</v>
      </c>
      <c r="B42" s="72">
        <f>HLOOKUP(SUBSTITUTE(CONCATENATE(SUBSTITUTE(SUBSTITUTE(A42,"歳","")," ",""),"_男")," ",""),[7]データ貼り付けシート!$1:$2,2,FALSE)</f>
        <v>557</v>
      </c>
      <c r="C42" s="72">
        <f>HLOOKUP(SUBSTITUTE(CONCATENATE(SUBSTITUTE(SUBSTITUTE(A42,"歳","")," ",""),"_女")," ",""),[7]データ貼り付けシート!$1:$2,2,FALSE)</f>
        <v>557</v>
      </c>
      <c r="D42" s="72">
        <f>HLOOKUP(SUBSTITUTE(CONCATENATE(SUBSTITUTE(SUBSTITUTE(A42,"歳","")," ",""),"_全体")," ",""),[7]データ貼り付けシート!$1:$2,2,FALSE)</f>
        <v>1114</v>
      </c>
      <c r="E42" s="70"/>
    </row>
    <row r="43" spans="1:5" x14ac:dyDescent="0.4">
      <c r="A43" s="71" t="s">
        <v>44</v>
      </c>
      <c r="B43" s="72">
        <f>HLOOKUP(SUBSTITUTE(CONCATENATE(SUBSTITUTE(SUBSTITUTE(A43,"歳","")," ",""),"_男")," ",""),[7]データ貼り付けシート!$1:$2,2,FALSE)</f>
        <v>581</v>
      </c>
      <c r="C43" s="72">
        <f>HLOOKUP(SUBSTITUTE(CONCATENATE(SUBSTITUTE(SUBSTITUTE(A43,"歳","")," ",""),"_女")," ",""),[7]データ貼り付けシート!$1:$2,2,FALSE)</f>
        <v>548</v>
      </c>
      <c r="D43" s="72">
        <f>HLOOKUP(SUBSTITUTE(CONCATENATE(SUBSTITUTE(SUBSTITUTE(A43,"歳","")," ",""),"_全体")," ",""),[7]データ貼り付けシート!$1:$2,2,FALSE)</f>
        <v>1129</v>
      </c>
      <c r="E43" s="70"/>
    </row>
    <row r="44" spans="1:5" x14ac:dyDescent="0.4">
      <c r="A44" s="71" t="s">
        <v>45</v>
      </c>
      <c r="B44" s="72">
        <f>HLOOKUP(SUBSTITUTE(CONCATENATE(SUBSTITUTE(SUBSTITUTE(A44,"歳","")," ",""),"_男")," ",""),[7]データ貼り付けシート!$1:$2,2,FALSE)</f>
        <v>636</v>
      </c>
      <c r="C44" s="72">
        <f>HLOOKUP(SUBSTITUTE(CONCATENATE(SUBSTITUTE(SUBSTITUTE(A44,"歳","")," ",""),"_女")," ",""),[7]データ貼り付けシート!$1:$2,2,FALSE)</f>
        <v>593</v>
      </c>
      <c r="D44" s="72">
        <f>HLOOKUP(SUBSTITUTE(CONCATENATE(SUBSTITUTE(SUBSTITUTE(A44,"歳","")," ",""),"_全体")," ",""),[7]データ貼り付けシート!$1:$2,2,FALSE)</f>
        <v>1229</v>
      </c>
      <c r="E44" s="70"/>
    </row>
    <row r="45" spans="1:5" x14ac:dyDescent="0.4">
      <c r="A45" s="71" t="s">
        <v>46</v>
      </c>
      <c r="B45" s="72">
        <f>HLOOKUP(SUBSTITUTE(CONCATENATE(SUBSTITUTE(SUBSTITUTE(A45,"歳","")," ",""),"_男")," ",""),[7]データ貼り付けシート!$1:$2,2,FALSE)</f>
        <v>609</v>
      </c>
      <c r="C45" s="72">
        <f>HLOOKUP(SUBSTITUTE(CONCATENATE(SUBSTITUTE(SUBSTITUTE(A45,"歳","")," ",""),"_女")," ",""),[7]データ貼り付けシート!$1:$2,2,FALSE)</f>
        <v>576</v>
      </c>
      <c r="D45" s="72">
        <f>HLOOKUP(SUBSTITUTE(CONCATENATE(SUBSTITUTE(SUBSTITUTE(A45,"歳","")," ",""),"_全体")," ",""),[7]データ貼り付けシート!$1:$2,2,FALSE)</f>
        <v>1185</v>
      </c>
      <c r="E45" s="70"/>
    </row>
    <row r="46" spans="1:5" x14ac:dyDescent="0.4">
      <c r="A46" s="71" t="s">
        <v>47</v>
      </c>
      <c r="B46" s="72">
        <f>HLOOKUP(SUBSTITUTE(CONCATENATE(SUBSTITUTE(SUBSTITUTE(A46,"歳","")," ",""),"_男")," ",""),[7]データ貼り付けシート!$1:$2,2,FALSE)</f>
        <v>731</v>
      </c>
      <c r="C46" s="72">
        <f>HLOOKUP(SUBSTITUTE(CONCATENATE(SUBSTITUTE(SUBSTITUTE(A46,"歳","")," ",""),"_女")," ",""),[7]データ貼り付けシート!$1:$2,2,FALSE)</f>
        <v>656</v>
      </c>
      <c r="D46" s="72">
        <f>HLOOKUP(SUBSTITUTE(CONCATENATE(SUBSTITUTE(SUBSTITUTE(A46,"歳","")," ",""),"_全体")," ",""),[7]データ貼り付けシート!$1:$2,2,FALSE)</f>
        <v>1387</v>
      </c>
      <c r="E46" s="70"/>
    </row>
    <row r="47" spans="1:5" x14ac:dyDescent="0.4">
      <c r="A47" s="71" t="s">
        <v>48</v>
      </c>
      <c r="B47" s="72">
        <f>HLOOKUP(SUBSTITUTE(CONCATENATE(SUBSTITUTE(SUBSTITUTE(A47,"歳","")," ",""),"_男")," ",""),[7]データ貼り付けシート!$1:$2,2,FALSE)</f>
        <v>723</v>
      </c>
      <c r="C47" s="72">
        <f>HLOOKUP(SUBSTITUTE(CONCATENATE(SUBSTITUTE(SUBSTITUTE(A47,"歳","")," ",""),"_女")," ",""),[7]データ貼り付けシート!$1:$2,2,FALSE)</f>
        <v>683</v>
      </c>
      <c r="D47" s="72">
        <f>HLOOKUP(SUBSTITUTE(CONCATENATE(SUBSTITUTE(SUBSTITUTE(A47,"歳","")," ",""),"_全体")," ",""),[7]データ貼り付けシート!$1:$2,2,FALSE)</f>
        <v>1406</v>
      </c>
      <c r="E47" s="70"/>
    </row>
    <row r="48" spans="1:5" x14ac:dyDescent="0.4">
      <c r="A48" s="71" t="s">
        <v>49</v>
      </c>
      <c r="B48" s="72">
        <f>HLOOKUP(SUBSTITUTE(CONCATENATE(SUBSTITUTE(SUBSTITUTE(A48,"歳","")," ",""),"_男")," ",""),[7]データ貼り付けシート!$1:$2,2,FALSE)</f>
        <v>830</v>
      </c>
      <c r="C48" s="72">
        <f>HLOOKUP(SUBSTITUTE(CONCATENATE(SUBSTITUTE(SUBSTITUTE(A48,"歳","")," ",""),"_女")," ",""),[7]データ貼り付けシート!$1:$2,2,FALSE)</f>
        <v>735</v>
      </c>
      <c r="D48" s="72">
        <f>HLOOKUP(SUBSTITUTE(CONCATENATE(SUBSTITUTE(SUBSTITUTE(A48,"歳","")," ",""),"_全体")," ",""),[7]データ貼り付けシート!$1:$2,2,FALSE)</f>
        <v>1565</v>
      </c>
      <c r="E48" s="70"/>
    </row>
    <row r="49" spans="1:5" x14ac:dyDescent="0.4">
      <c r="A49" s="71" t="s">
        <v>50</v>
      </c>
      <c r="B49" s="72">
        <f>HLOOKUP(SUBSTITUTE(CONCATENATE(SUBSTITUTE(SUBSTITUTE(A49,"歳","")," ",""),"_男")," ",""),[7]データ貼り付けシート!$1:$2,2,FALSE)</f>
        <v>891</v>
      </c>
      <c r="C49" s="72">
        <f>HLOOKUP(SUBSTITUTE(CONCATENATE(SUBSTITUTE(SUBSTITUTE(A49,"歳","")," ",""),"_女")," ",""),[7]データ貼り付けシート!$1:$2,2,FALSE)</f>
        <v>769</v>
      </c>
      <c r="D49" s="72">
        <f>HLOOKUP(SUBSTITUTE(CONCATENATE(SUBSTITUTE(SUBSTITUTE(A49,"歳","")," ",""),"_全体")," ",""),[7]データ貼り付けシート!$1:$2,2,FALSE)</f>
        <v>1660</v>
      </c>
      <c r="E49" s="70"/>
    </row>
    <row r="50" spans="1:5" x14ac:dyDescent="0.4">
      <c r="A50" s="71" t="s">
        <v>51</v>
      </c>
      <c r="B50" s="72">
        <f>HLOOKUP(SUBSTITUTE(CONCATENATE(SUBSTITUTE(SUBSTITUTE(A50,"歳","")," ",""),"_男")," ",""),[7]データ貼り付けシート!$1:$2,2,FALSE)</f>
        <v>796</v>
      </c>
      <c r="C50" s="72">
        <f>HLOOKUP(SUBSTITUTE(CONCATENATE(SUBSTITUTE(SUBSTITUTE(A50,"歳","")," ",""),"_女")," ",""),[7]データ貼り付けシート!$1:$2,2,FALSE)</f>
        <v>752</v>
      </c>
      <c r="D50" s="72">
        <f>HLOOKUP(SUBSTITUTE(CONCATENATE(SUBSTITUTE(SUBSTITUTE(A50,"歳","")," ",""),"_全体")," ",""),[7]データ貼り付けシート!$1:$2,2,FALSE)</f>
        <v>1548</v>
      </c>
      <c r="E50" s="70"/>
    </row>
    <row r="51" spans="1:5" x14ac:dyDescent="0.4">
      <c r="A51" s="71" t="s">
        <v>52</v>
      </c>
      <c r="B51" s="72">
        <f>HLOOKUP(SUBSTITUTE(CONCATENATE(SUBSTITUTE(SUBSTITUTE(A51,"歳","")," ",""),"_男")," ",""),[7]データ貼り付けシート!$1:$2,2,FALSE)</f>
        <v>779</v>
      </c>
      <c r="C51" s="72">
        <f>HLOOKUP(SUBSTITUTE(CONCATENATE(SUBSTITUTE(SUBSTITUTE(A51,"歳","")," ",""),"_女")," ",""),[7]データ貼り付けシート!$1:$2,2,FALSE)</f>
        <v>711</v>
      </c>
      <c r="D51" s="72">
        <f>HLOOKUP(SUBSTITUTE(CONCATENATE(SUBSTITUTE(SUBSTITUTE(A51,"歳","")," ",""),"_全体")," ",""),[7]データ貼り付けシート!$1:$2,2,FALSE)</f>
        <v>1490</v>
      </c>
      <c r="E51" s="70"/>
    </row>
    <row r="52" spans="1:5" x14ac:dyDescent="0.4">
      <c r="A52" s="71" t="s">
        <v>53</v>
      </c>
      <c r="B52" s="72">
        <f>HLOOKUP(SUBSTITUTE(CONCATENATE(SUBSTITUTE(SUBSTITUTE(A52,"歳","")," ",""),"_男")," ",""),[7]データ貼り付けシート!$1:$2,2,FALSE)</f>
        <v>733</v>
      </c>
      <c r="C52" s="72">
        <f>HLOOKUP(SUBSTITUTE(CONCATENATE(SUBSTITUTE(SUBSTITUTE(A52,"歳","")," ",""),"_女")," ",""),[7]データ貼り付けシート!$1:$2,2,FALSE)</f>
        <v>658</v>
      </c>
      <c r="D52" s="72">
        <f>HLOOKUP(SUBSTITUTE(CONCATENATE(SUBSTITUTE(SUBSTITUTE(A52,"歳","")," ",""),"_全体")," ",""),[7]データ貼り付けシート!$1:$2,2,FALSE)</f>
        <v>1391</v>
      </c>
      <c r="E52" s="70"/>
    </row>
    <row r="53" spans="1:5" x14ac:dyDescent="0.4">
      <c r="A53" s="71" t="s">
        <v>54</v>
      </c>
      <c r="B53" s="72">
        <f>HLOOKUP(SUBSTITUTE(CONCATENATE(SUBSTITUTE(SUBSTITUTE(A53,"歳","")," ",""),"_男")," ",""),[7]データ貼り付けシート!$1:$2,2,FALSE)</f>
        <v>705</v>
      </c>
      <c r="C53" s="72">
        <f>HLOOKUP(SUBSTITUTE(CONCATENATE(SUBSTITUTE(SUBSTITUTE(A53,"歳","")," ",""),"_女")," ",""),[7]データ貼り付けシート!$1:$2,2,FALSE)</f>
        <v>625</v>
      </c>
      <c r="D53" s="72">
        <f>HLOOKUP(SUBSTITUTE(CONCATENATE(SUBSTITUTE(SUBSTITUTE(A53,"歳","")," ",""),"_全体")," ",""),[7]データ貼り付けシート!$1:$2,2,FALSE)</f>
        <v>1330</v>
      </c>
      <c r="E53" s="70"/>
    </row>
    <row r="54" spans="1:5" x14ac:dyDescent="0.4">
      <c r="A54" s="71" t="s">
        <v>55</v>
      </c>
      <c r="B54" s="72">
        <f>HLOOKUP(SUBSTITUTE(CONCATENATE(SUBSTITUTE(SUBSTITUTE(A54,"歳","")," ",""),"_男")," ",""),[7]データ貼り付けシート!$1:$2,2,FALSE)</f>
        <v>661</v>
      </c>
      <c r="C54" s="72">
        <f>HLOOKUP(SUBSTITUTE(CONCATENATE(SUBSTITUTE(SUBSTITUTE(A54,"歳","")," ",""),"_女")," ",""),[7]データ貼り付けシート!$1:$2,2,FALSE)</f>
        <v>602</v>
      </c>
      <c r="D54" s="72">
        <f>HLOOKUP(SUBSTITUTE(CONCATENATE(SUBSTITUTE(SUBSTITUTE(A54,"歳","")," ",""),"_全体")," ",""),[7]データ貼り付けシート!$1:$2,2,FALSE)</f>
        <v>1263</v>
      </c>
      <c r="E54" s="70"/>
    </row>
    <row r="55" spans="1:5" x14ac:dyDescent="0.4">
      <c r="A55" s="71" t="s">
        <v>56</v>
      </c>
      <c r="B55" s="72">
        <f>HLOOKUP(SUBSTITUTE(CONCATENATE(SUBSTITUTE(SUBSTITUTE(A55,"歳","")," ",""),"_男")," ",""),[7]データ貼り付けシート!$1:$2,2,FALSE)</f>
        <v>654</v>
      </c>
      <c r="C55" s="72">
        <f>HLOOKUP(SUBSTITUTE(CONCATENATE(SUBSTITUTE(SUBSTITUTE(A55,"歳","")," ",""),"_女")," ",""),[7]データ貼り付けシート!$1:$2,2,FALSE)</f>
        <v>540</v>
      </c>
      <c r="D55" s="72">
        <f>HLOOKUP(SUBSTITUTE(CONCATENATE(SUBSTITUTE(SUBSTITUTE(A55,"歳","")," ",""),"_全体")," ",""),[7]データ貼り付けシート!$1:$2,2,FALSE)</f>
        <v>1194</v>
      </c>
      <c r="E55" s="70"/>
    </row>
    <row r="56" spans="1:5" x14ac:dyDescent="0.4">
      <c r="A56" s="71" t="s">
        <v>57</v>
      </c>
      <c r="B56" s="72">
        <f>HLOOKUP(SUBSTITUTE(CONCATENATE(SUBSTITUTE(SUBSTITUTE(A56,"歳","")," ",""),"_男")," ",""),[7]データ貼り付けシート!$1:$2,2,FALSE)</f>
        <v>533</v>
      </c>
      <c r="C56" s="72">
        <f>HLOOKUP(SUBSTITUTE(CONCATENATE(SUBSTITUTE(SUBSTITUTE(A56,"歳","")," ",""),"_女")," ",""),[7]データ貼り付けシート!$1:$2,2,FALSE)</f>
        <v>447</v>
      </c>
      <c r="D56" s="72">
        <f>HLOOKUP(SUBSTITUTE(CONCATENATE(SUBSTITUTE(SUBSTITUTE(A56,"歳","")," ",""),"_全体")," ",""),[7]データ貼り付けシート!$1:$2,2,FALSE)</f>
        <v>980</v>
      </c>
      <c r="E56" s="70"/>
    </row>
    <row r="57" spans="1:5" x14ac:dyDescent="0.4">
      <c r="A57" s="71" t="s">
        <v>58</v>
      </c>
      <c r="B57" s="72">
        <f>HLOOKUP(SUBSTITUTE(CONCATENATE(SUBSTITUTE(SUBSTITUTE(A57,"歳","")," ",""),"_男")," ",""),[7]データ貼り付けシート!$1:$2,2,FALSE)</f>
        <v>530</v>
      </c>
      <c r="C57" s="72">
        <f>HLOOKUP(SUBSTITUTE(CONCATENATE(SUBSTITUTE(SUBSTITUTE(A57,"歳","")," ",""),"_女")," ",""),[7]データ貼り付けシート!$1:$2,2,FALSE)</f>
        <v>515</v>
      </c>
      <c r="D57" s="72">
        <f>HLOOKUP(SUBSTITUTE(CONCATENATE(SUBSTITUTE(SUBSTITUTE(A57,"歳","")," ",""),"_全体")," ",""),[7]データ貼り付けシート!$1:$2,2,FALSE)</f>
        <v>1045</v>
      </c>
      <c r="E57" s="70"/>
    </row>
    <row r="58" spans="1:5" x14ac:dyDescent="0.4">
      <c r="A58" s="71" t="s">
        <v>59</v>
      </c>
      <c r="B58" s="72">
        <f>HLOOKUP(SUBSTITUTE(CONCATENATE(SUBSTITUTE(SUBSTITUTE(A58,"歳","")," ",""),"_男")," ",""),[7]データ貼り付けシート!$1:$2,2,FALSE)</f>
        <v>494</v>
      </c>
      <c r="C58" s="72">
        <f>HLOOKUP(SUBSTITUTE(CONCATENATE(SUBSTITUTE(SUBSTITUTE(A58,"歳","")," ",""),"_女")," ",""),[7]データ貼り付けシート!$1:$2,2,FALSE)</f>
        <v>490</v>
      </c>
      <c r="D58" s="72">
        <f>HLOOKUP(SUBSTITUTE(CONCATENATE(SUBSTITUTE(SUBSTITUTE(A58,"歳","")," ",""),"_全体")," ",""),[7]データ貼り付けシート!$1:$2,2,FALSE)</f>
        <v>984</v>
      </c>
      <c r="E58" s="70"/>
    </row>
    <row r="59" spans="1:5" x14ac:dyDescent="0.4">
      <c r="A59" s="71" t="s">
        <v>60</v>
      </c>
      <c r="B59" s="72">
        <f>HLOOKUP(SUBSTITUTE(CONCATENATE(SUBSTITUTE(SUBSTITUTE(A59,"歳","")," ",""),"_男")," ",""),[7]データ貼り付けシート!$1:$2,2,FALSE)</f>
        <v>493</v>
      </c>
      <c r="C59" s="72">
        <f>HLOOKUP(SUBSTITUTE(CONCATENATE(SUBSTITUTE(SUBSTITUTE(A59,"歳","")," ",""),"_女")," ",""),[7]データ貼り付けシート!$1:$2,2,FALSE)</f>
        <v>429</v>
      </c>
      <c r="D59" s="72">
        <f>HLOOKUP(SUBSTITUTE(CONCATENATE(SUBSTITUTE(SUBSTITUTE(A59,"歳","")," ",""),"_全体")," ",""),[7]データ貼り付けシート!$1:$2,2,FALSE)</f>
        <v>922</v>
      </c>
      <c r="E59" s="70"/>
    </row>
    <row r="60" spans="1:5" x14ac:dyDescent="0.4">
      <c r="A60" s="71" t="s">
        <v>61</v>
      </c>
      <c r="B60" s="72">
        <f>HLOOKUP(SUBSTITUTE(CONCATENATE(SUBSTITUTE(SUBSTITUTE(A60,"歳","")," ",""),"_男")," ",""),[7]データ貼り付けシート!$1:$2,2,FALSE)</f>
        <v>474</v>
      </c>
      <c r="C60" s="72">
        <f>HLOOKUP(SUBSTITUTE(CONCATENATE(SUBSTITUTE(SUBSTITUTE(A60,"歳","")," ",""),"_女")," ",""),[7]データ貼り付けシート!$1:$2,2,FALSE)</f>
        <v>425</v>
      </c>
      <c r="D60" s="72">
        <f>HLOOKUP(SUBSTITUTE(CONCATENATE(SUBSTITUTE(SUBSTITUTE(A60,"歳","")," ",""),"_全体")," ",""),[7]データ貼り付けシート!$1:$2,2,FALSE)</f>
        <v>899</v>
      </c>
      <c r="E60" s="70"/>
    </row>
    <row r="61" spans="1:5" x14ac:dyDescent="0.4">
      <c r="A61" s="71" t="s">
        <v>62</v>
      </c>
      <c r="B61" s="72">
        <f>HLOOKUP(SUBSTITUTE(CONCATENATE(SUBSTITUTE(SUBSTITUTE(A61,"歳","")," ",""),"_男")," ",""),[7]データ貼り付けシート!$1:$2,2,FALSE)</f>
        <v>423</v>
      </c>
      <c r="C61" s="72">
        <f>HLOOKUP(SUBSTITUTE(CONCATENATE(SUBSTITUTE(SUBSTITUTE(A61,"歳","")," ",""),"_女")," ",""),[7]データ貼り付けシート!$1:$2,2,FALSE)</f>
        <v>421</v>
      </c>
      <c r="D61" s="72">
        <f>HLOOKUP(SUBSTITUTE(CONCATENATE(SUBSTITUTE(SUBSTITUTE(A61,"歳","")," ",""),"_全体")," ",""),[7]データ貼り付けシート!$1:$2,2,FALSE)</f>
        <v>844</v>
      </c>
      <c r="E61" s="70"/>
    </row>
    <row r="62" spans="1:5" x14ac:dyDescent="0.4">
      <c r="A62" s="71" t="s">
        <v>63</v>
      </c>
      <c r="B62" s="72">
        <f>HLOOKUP(SUBSTITUTE(CONCATENATE(SUBSTITUTE(SUBSTITUTE(A62,"歳","")," ",""),"_男")," ",""),[7]データ貼り付けシート!$1:$2,2,FALSE)</f>
        <v>416</v>
      </c>
      <c r="C62" s="72">
        <f>HLOOKUP(SUBSTITUTE(CONCATENATE(SUBSTITUTE(SUBSTITUTE(A62,"歳","")," ",""),"_女")," ",""),[7]データ貼り付けシート!$1:$2,2,FALSE)</f>
        <v>401</v>
      </c>
      <c r="D62" s="72">
        <f>HLOOKUP(SUBSTITUTE(CONCATENATE(SUBSTITUTE(SUBSTITUTE(A62,"歳","")," ",""),"_全体")," ",""),[7]データ貼り付けシート!$1:$2,2,FALSE)</f>
        <v>817</v>
      </c>
      <c r="E62" s="70"/>
    </row>
    <row r="63" spans="1:5" x14ac:dyDescent="0.4">
      <c r="A63" s="71" t="s">
        <v>64</v>
      </c>
      <c r="B63" s="72">
        <f>HLOOKUP(SUBSTITUTE(CONCATENATE(SUBSTITUTE(SUBSTITUTE(A63,"歳","")," ",""),"_男")," ",""),[7]データ貼り付けシート!$1:$2,2,FALSE)</f>
        <v>441</v>
      </c>
      <c r="C63" s="72">
        <f>HLOOKUP(SUBSTITUTE(CONCATENATE(SUBSTITUTE(SUBSTITUTE(A63,"歳","")," ",""),"_女")," ",""),[7]データ貼り付けシート!$1:$2,2,FALSE)</f>
        <v>403</v>
      </c>
      <c r="D63" s="72">
        <f>HLOOKUP(SUBSTITUTE(CONCATENATE(SUBSTITUTE(SUBSTITUTE(A63,"歳","")," ",""),"_全体")," ",""),[7]データ貼り付けシート!$1:$2,2,FALSE)</f>
        <v>844</v>
      </c>
      <c r="E63" s="70"/>
    </row>
    <row r="64" spans="1:5" x14ac:dyDescent="0.4">
      <c r="A64" s="71" t="s">
        <v>65</v>
      </c>
      <c r="B64" s="72">
        <f>HLOOKUP(SUBSTITUTE(CONCATENATE(SUBSTITUTE(SUBSTITUTE(A64,"歳","")," ",""),"_男")," ",""),[7]データ貼り付けシート!$1:$2,2,FALSE)</f>
        <v>411</v>
      </c>
      <c r="C64" s="72">
        <f>HLOOKUP(SUBSTITUTE(CONCATENATE(SUBSTITUTE(SUBSTITUTE(A64,"歳","")," ",""),"_女")," ",""),[7]データ貼り付けシート!$1:$2,2,FALSE)</f>
        <v>397</v>
      </c>
      <c r="D64" s="72">
        <f>HLOOKUP(SUBSTITUTE(CONCATENATE(SUBSTITUTE(SUBSTITUTE(A64,"歳","")," ",""),"_全体")," ",""),[7]データ貼り付けシート!$1:$2,2,FALSE)</f>
        <v>808</v>
      </c>
      <c r="E64" s="70"/>
    </row>
    <row r="65" spans="1:5" x14ac:dyDescent="0.4">
      <c r="A65" s="71" t="s">
        <v>66</v>
      </c>
      <c r="B65" s="72">
        <f>HLOOKUP(SUBSTITUTE(CONCATENATE(SUBSTITUTE(SUBSTITUTE(A65,"歳","")," ",""),"_男")," ",""),[7]データ貼り付けシート!$1:$2,2,FALSE)</f>
        <v>408</v>
      </c>
      <c r="C65" s="72">
        <f>HLOOKUP(SUBSTITUTE(CONCATENATE(SUBSTITUTE(SUBSTITUTE(A65,"歳","")," ",""),"_女")," ",""),[7]データ貼り付けシート!$1:$2,2,FALSE)</f>
        <v>409</v>
      </c>
      <c r="D65" s="72">
        <f>HLOOKUP(SUBSTITUTE(CONCATENATE(SUBSTITUTE(SUBSTITUTE(A65,"歳","")," ",""),"_全体")," ",""),[7]データ貼り付けシート!$1:$2,2,FALSE)</f>
        <v>817</v>
      </c>
      <c r="E65" s="70"/>
    </row>
    <row r="66" spans="1:5" x14ac:dyDescent="0.4">
      <c r="A66" s="71" t="s">
        <v>67</v>
      </c>
      <c r="B66" s="72">
        <f>HLOOKUP(SUBSTITUTE(CONCATENATE(SUBSTITUTE(SUBSTITUTE(A66,"歳","")," ",""),"_男")," ",""),[7]データ貼り付けシート!$1:$2,2,FALSE)</f>
        <v>395</v>
      </c>
      <c r="C66" s="72">
        <f>HLOOKUP(SUBSTITUTE(CONCATENATE(SUBSTITUTE(SUBSTITUTE(A66,"歳","")," ",""),"_女")," ",""),[7]データ貼り付けシート!$1:$2,2,FALSE)</f>
        <v>430</v>
      </c>
      <c r="D66" s="72">
        <f>HLOOKUP(SUBSTITUTE(CONCATENATE(SUBSTITUTE(SUBSTITUTE(A66,"歳","")," ",""),"_全体")," ",""),[7]データ貼り付けシート!$1:$2,2,FALSE)</f>
        <v>825</v>
      </c>
      <c r="E66" s="70"/>
    </row>
    <row r="67" spans="1:5" x14ac:dyDescent="0.4">
      <c r="A67" s="71" t="s">
        <v>68</v>
      </c>
      <c r="B67" s="72">
        <f>HLOOKUP(SUBSTITUTE(CONCATENATE(SUBSTITUTE(SUBSTITUTE(A67,"歳","")," ",""),"_男")," ",""),[7]データ貼り付けシート!$1:$2,2,FALSE)</f>
        <v>454</v>
      </c>
      <c r="C67" s="72">
        <f>HLOOKUP(SUBSTITUTE(CONCATENATE(SUBSTITUTE(SUBSTITUTE(A67,"歳","")," ",""),"_女")," ",""),[7]データ貼り付けシート!$1:$2,2,FALSE)</f>
        <v>441</v>
      </c>
      <c r="D67" s="72">
        <f>HLOOKUP(SUBSTITUTE(CONCATENATE(SUBSTITUTE(SUBSTITUTE(A67,"歳","")," ",""),"_全体")," ",""),[7]データ貼り付けシート!$1:$2,2,FALSE)</f>
        <v>895</v>
      </c>
      <c r="E67" s="70"/>
    </row>
    <row r="68" spans="1:5" x14ac:dyDescent="0.4">
      <c r="A68" s="71" t="s">
        <v>69</v>
      </c>
      <c r="B68" s="72">
        <f>HLOOKUP(SUBSTITUTE(CONCATENATE(SUBSTITUTE(SUBSTITUTE(A68,"歳","")," ",""),"_男")," ",""),[7]データ貼り付けシート!$1:$2,2,FALSE)</f>
        <v>395</v>
      </c>
      <c r="C68" s="72">
        <f>HLOOKUP(SUBSTITUTE(CONCATENATE(SUBSTITUTE(SUBSTITUTE(A68,"歳","")," ",""),"_女")," ",""),[7]データ貼り付けシート!$1:$2,2,FALSE)</f>
        <v>452</v>
      </c>
      <c r="D68" s="72">
        <f>HLOOKUP(SUBSTITUTE(CONCATENATE(SUBSTITUTE(SUBSTITUTE(A68,"歳","")," ",""),"_全体")," ",""),[7]データ貼り付けシート!$1:$2,2,FALSE)</f>
        <v>847</v>
      </c>
      <c r="E68" s="70"/>
    </row>
    <row r="69" spans="1:5" x14ac:dyDescent="0.4">
      <c r="A69" s="71" t="s">
        <v>70</v>
      </c>
      <c r="B69" s="72">
        <f>HLOOKUP(SUBSTITUTE(CONCATENATE(SUBSTITUTE(SUBSTITUTE(A69,"歳","")," ",""),"_男")," ",""),[7]データ貼り付けシート!$1:$2,2,FALSE)</f>
        <v>435</v>
      </c>
      <c r="C69" s="72">
        <f>HLOOKUP(SUBSTITUTE(CONCATENATE(SUBSTITUTE(SUBSTITUTE(A69,"歳","")," ",""),"_女")," ",""),[7]データ貼り付けシート!$1:$2,2,FALSE)</f>
        <v>513</v>
      </c>
      <c r="D69" s="72">
        <f>HLOOKUP(SUBSTITUTE(CONCATENATE(SUBSTITUTE(SUBSTITUTE(A69,"歳","")," ",""),"_全体")," ",""),[7]データ貼り付けシート!$1:$2,2,FALSE)</f>
        <v>948</v>
      </c>
      <c r="E69" s="70"/>
    </row>
    <row r="70" spans="1:5" x14ac:dyDescent="0.4">
      <c r="A70" s="71" t="s">
        <v>71</v>
      </c>
      <c r="B70" s="72">
        <f>HLOOKUP(SUBSTITUTE(CONCATENATE(SUBSTITUTE(SUBSTITUTE(A70,"歳","")," ",""),"_男")," ",""),[7]データ貼り付けシート!$1:$2,2,FALSE)</f>
        <v>512</v>
      </c>
      <c r="C70" s="72">
        <f>HLOOKUP(SUBSTITUTE(CONCATENATE(SUBSTITUTE(SUBSTITUTE(A70,"歳","")," ",""),"_女")," ",""),[7]データ貼り付けシート!$1:$2,2,FALSE)</f>
        <v>540</v>
      </c>
      <c r="D70" s="72">
        <f>HLOOKUP(SUBSTITUTE(CONCATENATE(SUBSTITUTE(SUBSTITUTE(A70,"歳","")," ",""),"_全体")," ",""),[7]データ貼り付けシート!$1:$2,2,FALSE)</f>
        <v>1052</v>
      </c>
      <c r="E70" s="70"/>
    </row>
    <row r="71" spans="1:5" x14ac:dyDescent="0.4">
      <c r="A71" s="71" t="s">
        <v>72</v>
      </c>
      <c r="B71" s="72">
        <f>HLOOKUP(SUBSTITUTE(CONCATENATE(SUBSTITUTE(SUBSTITUTE(A71,"歳","")," ",""),"_男")," ",""),[7]データ貼り付けシート!$1:$2,2,FALSE)</f>
        <v>540</v>
      </c>
      <c r="C71" s="72">
        <f>HLOOKUP(SUBSTITUTE(CONCATENATE(SUBSTITUTE(SUBSTITUTE(A71,"歳","")," ",""),"_女")," ",""),[7]データ貼り付けシート!$1:$2,2,FALSE)</f>
        <v>582</v>
      </c>
      <c r="D71" s="72">
        <f>HLOOKUP(SUBSTITUTE(CONCATENATE(SUBSTITUTE(SUBSTITUTE(A71,"歳","")," ",""),"_全体")," ",""),[7]データ貼り付けシート!$1:$2,2,FALSE)</f>
        <v>1122</v>
      </c>
      <c r="E71" s="70"/>
    </row>
    <row r="72" spans="1:5" x14ac:dyDescent="0.4">
      <c r="A72" s="71" t="s">
        <v>73</v>
      </c>
      <c r="B72" s="72">
        <f>HLOOKUP(SUBSTITUTE(CONCATENATE(SUBSTITUTE(SUBSTITUTE(A72,"歳","")," ",""),"_男")," ",""),[7]データ貼り付けシート!$1:$2,2,FALSE)</f>
        <v>608</v>
      </c>
      <c r="C72" s="72">
        <f>HLOOKUP(SUBSTITUTE(CONCATENATE(SUBSTITUTE(SUBSTITUTE(A72,"歳","")," ",""),"_女")," ",""),[7]データ貼り付けシート!$1:$2,2,FALSE)</f>
        <v>706</v>
      </c>
      <c r="D72" s="72">
        <f>HLOOKUP(SUBSTITUTE(CONCATENATE(SUBSTITUTE(SUBSTITUTE(A72,"歳","")," ",""),"_全体")," ",""),[7]データ貼り付けシート!$1:$2,2,FALSE)</f>
        <v>1314</v>
      </c>
      <c r="E72" s="70"/>
    </row>
    <row r="73" spans="1:5" x14ac:dyDescent="0.4">
      <c r="A73" s="71" t="s">
        <v>74</v>
      </c>
      <c r="B73" s="72">
        <f>HLOOKUP(SUBSTITUTE(CONCATENATE(SUBSTITUTE(SUBSTITUTE(A73,"歳","")," ",""),"_男")," ",""),[7]データ貼り付けシート!$1:$2,2,FALSE)</f>
        <v>645</v>
      </c>
      <c r="C73" s="72">
        <f>HLOOKUP(SUBSTITUTE(CONCATENATE(SUBSTITUTE(SUBSTITUTE(A73,"歳","")," ",""),"_女")," ",""),[7]データ貼り付けシート!$1:$2,2,FALSE)</f>
        <v>763</v>
      </c>
      <c r="D73" s="72">
        <f>HLOOKUP(SUBSTITUTE(CONCATENATE(SUBSTITUTE(SUBSTITUTE(A73,"歳","")," ",""),"_全体")," ",""),[7]データ貼り付けシート!$1:$2,2,FALSE)</f>
        <v>1408</v>
      </c>
      <c r="E73" s="70"/>
    </row>
    <row r="74" spans="1:5" x14ac:dyDescent="0.4">
      <c r="A74" s="71" t="s">
        <v>75</v>
      </c>
      <c r="B74" s="72">
        <f>HLOOKUP(SUBSTITUTE(CONCATENATE(SUBSTITUTE(SUBSTITUTE(A74,"歳","")," ",""),"_男")," ",""),[7]データ貼り付けシート!$1:$2,2,FALSE)</f>
        <v>676</v>
      </c>
      <c r="C74" s="72">
        <f>HLOOKUP(SUBSTITUTE(CONCATENATE(SUBSTITUTE(SUBSTITUTE(A74,"歳","")," ",""),"_女")," ",""),[7]データ貼り付けシート!$1:$2,2,FALSE)</f>
        <v>769</v>
      </c>
      <c r="D74" s="72">
        <f>HLOOKUP(SUBSTITUTE(CONCATENATE(SUBSTITUTE(SUBSTITUTE(A74,"歳","")," ",""),"_全体")," ",""),[7]データ貼り付けシート!$1:$2,2,FALSE)</f>
        <v>1445</v>
      </c>
      <c r="E74" s="70"/>
    </row>
    <row r="75" spans="1:5" x14ac:dyDescent="0.4">
      <c r="A75" s="71" t="s">
        <v>76</v>
      </c>
      <c r="B75" s="72">
        <f>HLOOKUP(SUBSTITUTE(CONCATENATE(SUBSTITUTE(SUBSTITUTE(A75,"歳","")," ",""),"_男")," ",""),[7]データ貼り付けシート!$1:$2,2,FALSE)</f>
        <v>634</v>
      </c>
      <c r="C75" s="72">
        <f>HLOOKUP(SUBSTITUTE(CONCATENATE(SUBSTITUTE(SUBSTITUTE(A75,"歳","")," ",""),"_女")," ",""),[7]データ貼り付けシート!$1:$2,2,FALSE)</f>
        <v>718</v>
      </c>
      <c r="D75" s="72">
        <f>HLOOKUP(SUBSTITUTE(CONCATENATE(SUBSTITUTE(SUBSTITUTE(A75,"歳","")," ",""),"_全体")," ",""),[7]データ貼り付けシート!$1:$2,2,FALSE)</f>
        <v>1352</v>
      </c>
      <c r="E75" s="70"/>
    </row>
    <row r="76" spans="1:5" x14ac:dyDescent="0.4">
      <c r="A76" s="71" t="s">
        <v>77</v>
      </c>
      <c r="B76" s="72">
        <f>HLOOKUP(SUBSTITUTE(CONCATENATE(SUBSTITUTE(SUBSTITUTE(A76,"歳","")," ",""),"_男")," ",""),[7]データ貼り付けシート!$1:$2,2,FALSE)</f>
        <v>351</v>
      </c>
      <c r="C76" s="72">
        <f>HLOOKUP(SUBSTITUTE(CONCATENATE(SUBSTITUTE(SUBSTITUTE(A76,"歳","")," ",""),"_女")," ",""),[7]データ貼り付けシート!$1:$2,2,FALSE)</f>
        <v>425</v>
      </c>
      <c r="D76" s="72">
        <f>HLOOKUP(SUBSTITUTE(CONCATENATE(SUBSTITUTE(SUBSTITUTE(A76,"歳","")," ",""),"_全体")," ",""),[7]データ貼り付けシート!$1:$2,2,FALSE)</f>
        <v>776</v>
      </c>
      <c r="E76" s="70"/>
    </row>
    <row r="77" spans="1:5" x14ac:dyDescent="0.4">
      <c r="A77" s="71" t="s">
        <v>78</v>
      </c>
      <c r="B77" s="72">
        <f>HLOOKUP(SUBSTITUTE(CONCATENATE(SUBSTITUTE(SUBSTITUTE(A77,"歳","")," ",""),"_男")," ",""),[7]データ貼り付けシート!$1:$2,2,FALSE)</f>
        <v>430</v>
      </c>
      <c r="C77" s="72">
        <f>HLOOKUP(SUBSTITUTE(CONCATENATE(SUBSTITUTE(SUBSTITUTE(A77,"歳","")," ",""),"_女")," ",""),[7]データ貼り付けシート!$1:$2,2,FALSE)</f>
        <v>532</v>
      </c>
      <c r="D77" s="72">
        <f>HLOOKUP(SUBSTITUTE(CONCATENATE(SUBSTITUTE(SUBSTITUTE(A77,"歳","")," ",""),"_全体")," ",""),[7]データ貼り付けシート!$1:$2,2,FALSE)</f>
        <v>962</v>
      </c>
      <c r="E77" s="70"/>
    </row>
    <row r="78" spans="1:5" x14ac:dyDescent="0.4">
      <c r="A78" s="71" t="s">
        <v>79</v>
      </c>
      <c r="B78" s="72">
        <f>HLOOKUP(SUBSTITUTE(CONCATENATE(SUBSTITUTE(SUBSTITUTE(A78,"歳","")," ",""),"_男")," ",""),[7]データ貼り付けシート!$1:$2,2,FALSE)</f>
        <v>525</v>
      </c>
      <c r="C78" s="72">
        <f>HLOOKUP(SUBSTITUTE(CONCATENATE(SUBSTITUTE(SUBSTITUTE(A78,"歳","")," ",""),"_女")," ",""),[7]データ貼り付けシート!$1:$2,2,FALSE)</f>
        <v>600</v>
      </c>
      <c r="D78" s="72">
        <f>HLOOKUP(SUBSTITUTE(CONCATENATE(SUBSTITUTE(SUBSTITUTE(A78,"歳","")," ",""),"_全体")," ",""),[7]データ貼り付けシート!$1:$2,2,FALSE)</f>
        <v>1125</v>
      </c>
      <c r="E78" s="70"/>
    </row>
    <row r="79" spans="1:5" x14ac:dyDescent="0.4">
      <c r="A79" s="71" t="s">
        <v>80</v>
      </c>
      <c r="B79" s="72">
        <f>HLOOKUP(SUBSTITUTE(CONCATENATE(SUBSTITUTE(SUBSTITUTE(A79,"歳","")," ",""),"_男")," ",""),[7]データ貼り付けシート!$1:$2,2,FALSE)</f>
        <v>472</v>
      </c>
      <c r="C79" s="72">
        <f>HLOOKUP(SUBSTITUTE(CONCATENATE(SUBSTITUTE(SUBSTITUTE(A79,"歳","")," ",""),"_女")," ",""),[7]データ貼り付けシート!$1:$2,2,FALSE)</f>
        <v>640</v>
      </c>
      <c r="D79" s="72">
        <f>HLOOKUP(SUBSTITUTE(CONCATENATE(SUBSTITUTE(SUBSTITUTE(A79,"歳","")," ",""),"_全体")," ",""),[7]データ貼り付けシート!$1:$2,2,FALSE)</f>
        <v>1112</v>
      </c>
      <c r="E79" s="70"/>
    </row>
    <row r="80" spans="1:5" x14ac:dyDescent="0.4">
      <c r="A80" s="71" t="s">
        <v>81</v>
      </c>
      <c r="B80" s="72">
        <f>HLOOKUP(SUBSTITUTE(CONCATENATE(SUBSTITUTE(SUBSTITUTE(A80,"歳","")," ",""),"_男")," ",""),[7]データ貼り付けシート!$1:$2,2,FALSE)</f>
        <v>515</v>
      </c>
      <c r="C80" s="72">
        <f>HLOOKUP(SUBSTITUTE(CONCATENATE(SUBSTITUTE(SUBSTITUTE(A80,"歳","")," ",""),"_女")," ",""),[7]データ貼り付けシート!$1:$2,2,FALSE)</f>
        <v>627</v>
      </c>
      <c r="D80" s="72">
        <f>HLOOKUP(SUBSTITUTE(CONCATENATE(SUBSTITUTE(SUBSTITUTE(A80,"歳","")," ",""),"_全体")," ",""),[7]データ貼り付けシート!$1:$2,2,FALSE)</f>
        <v>1142</v>
      </c>
      <c r="E80" s="70"/>
    </row>
    <row r="81" spans="1:5" x14ac:dyDescent="0.4">
      <c r="A81" s="71" t="s">
        <v>82</v>
      </c>
      <c r="B81" s="72">
        <f>HLOOKUP(SUBSTITUTE(CONCATENATE(SUBSTITUTE(SUBSTITUTE(A81,"歳","")," ",""),"_男")," ",""),[7]データ貼り付けシート!$1:$2,2,FALSE)</f>
        <v>475</v>
      </c>
      <c r="C81" s="72">
        <f>HLOOKUP(SUBSTITUTE(CONCATENATE(SUBSTITUTE(SUBSTITUTE(A81,"歳","")," ",""),"_女")," ",""),[7]データ貼り付けシート!$1:$2,2,FALSE)</f>
        <v>566</v>
      </c>
      <c r="D81" s="72">
        <f>HLOOKUP(SUBSTITUTE(CONCATENATE(SUBSTITUTE(SUBSTITUTE(A81,"歳","")," ",""),"_全体")," ",""),[7]データ貼り付けシート!$1:$2,2,FALSE)</f>
        <v>1041</v>
      </c>
      <c r="E81" s="70"/>
    </row>
    <row r="82" spans="1:5" x14ac:dyDescent="0.4">
      <c r="A82" s="71" t="s">
        <v>83</v>
      </c>
      <c r="B82" s="72">
        <f>HLOOKUP(SUBSTITUTE(CONCATENATE(SUBSTITUTE(SUBSTITUTE(A82,"歳","")," ",""),"_男")," ",""),[7]データ貼り付けシート!$1:$2,2,FALSE)</f>
        <v>384</v>
      </c>
      <c r="C82" s="72">
        <f>HLOOKUP(SUBSTITUTE(CONCATENATE(SUBSTITUTE(SUBSTITUTE(A82,"歳","")," ",""),"_女")," ",""),[7]データ貼り付けシート!$1:$2,2,FALSE)</f>
        <v>473</v>
      </c>
      <c r="D82" s="72">
        <f>HLOOKUP(SUBSTITUTE(CONCATENATE(SUBSTITUTE(SUBSTITUTE(A82,"歳","")," ",""),"_全体")," ",""),[7]データ貼り付けシート!$1:$2,2,FALSE)</f>
        <v>857</v>
      </c>
      <c r="E82" s="70"/>
    </row>
    <row r="83" spans="1:5" x14ac:dyDescent="0.4">
      <c r="A83" s="71" t="s">
        <v>84</v>
      </c>
      <c r="B83" s="72">
        <f>HLOOKUP(SUBSTITUTE(CONCATENATE(SUBSTITUTE(SUBSTITUTE(A83,"歳","")," ",""),"_男")," ",""),[7]データ貼り付けシート!$1:$2,2,FALSE)</f>
        <v>329</v>
      </c>
      <c r="C83" s="72">
        <f>HLOOKUP(SUBSTITUTE(CONCATENATE(SUBSTITUTE(SUBSTITUTE(A83,"歳","")," ",""),"_女")," ",""),[7]データ貼り付けシート!$1:$2,2,FALSE)</f>
        <v>366</v>
      </c>
      <c r="D83" s="72">
        <f>HLOOKUP(SUBSTITUTE(CONCATENATE(SUBSTITUTE(SUBSTITUTE(A83,"歳","")," ",""),"_全体")," ",""),[7]データ貼り付けシート!$1:$2,2,FALSE)</f>
        <v>695</v>
      </c>
      <c r="E83" s="70"/>
    </row>
    <row r="84" spans="1:5" x14ac:dyDescent="0.4">
      <c r="A84" s="71" t="s">
        <v>85</v>
      </c>
      <c r="B84" s="72">
        <f>HLOOKUP(SUBSTITUTE(CONCATENATE(SUBSTITUTE(SUBSTITUTE(A84,"歳","")," ",""),"_男")," ",""),[7]データ貼り付けシート!$1:$2,2,FALSE)</f>
        <v>312</v>
      </c>
      <c r="C84" s="72">
        <f>HLOOKUP(SUBSTITUTE(CONCATENATE(SUBSTITUTE(SUBSTITUTE(A84,"歳","")," ",""),"_女")," ",""),[7]データ貼り付けシート!$1:$2,2,FALSE)</f>
        <v>390</v>
      </c>
      <c r="D84" s="72">
        <f>HLOOKUP(SUBSTITUTE(CONCATENATE(SUBSTITUTE(SUBSTITUTE(A84,"歳","")," ",""),"_全体")," ",""),[7]データ貼り付けシート!$1:$2,2,FALSE)</f>
        <v>702</v>
      </c>
      <c r="E84" s="70"/>
    </row>
    <row r="85" spans="1:5" x14ac:dyDescent="0.4">
      <c r="A85" s="71" t="s">
        <v>86</v>
      </c>
      <c r="B85" s="72">
        <f>HLOOKUP(SUBSTITUTE(CONCATENATE(SUBSTITUTE(SUBSTITUTE(A85,"歳","")," ",""),"_男")," ",""),[7]データ貼り付けシート!$1:$2,2,FALSE)</f>
        <v>284</v>
      </c>
      <c r="C85" s="72">
        <f>HLOOKUP(SUBSTITUTE(CONCATENATE(SUBSTITUTE(SUBSTITUTE(A85,"歳","")," ",""),"_女")," ",""),[7]データ貼り付けシート!$1:$2,2,FALSE)</f>
        <v>357</v>
      </c>
      <c r="D85" s="72">
        <f>HLOOKUP(SUBSTITUTE(CONCATENATE(SUBSTITUTE(SUBSTITUTE(A85,"歳","")," ",""),"_全体")," ",""),[7]データ貼り付けシート!$1:$2,2,FALSE)</f>
        <v>641</v>
      </c>
      <c r="E85" s="70"/>
    </row>
    <row r="86" spans="1:5" x14ac:dyDescent="0.4">
      <c r="A86" s="71" t="s">
        <v>87</v>
      </c>
      <c r="B86" s="72">
        <f>HLOOKUP(SUBSTITUTE(CONCATENATE(SUBSTITUTE(SUBSTITUTE(A86,"歳","")," ",""),"_男")," ",""),[7]データ貼り付けシート!$1:$2,2,FALSE)</f>
        <v>283</v>
      </c>
      <c r="C86" s="72">
        <f>HLOOKUP(SUBSTITUTE(CONCATENATE(SUBSTITUTE(SUBSTITUTE(A86,"歳","")," ",""),"_女")," ",""),[7]データ貼り付けシート!$1:$2,2,FALSE)</f>
        <v>318</v>
      </c>
      <c r="D86" s="72">
        <f>HLOOKUP(SUBSTITUTE(CONCATENATE(SUBSTITUTE(SUBSTITUTE(A86,"歳","")," ",""),"_全体")," ",""),[7]データ貼り付けシート!$1:$2,2,FALSE)</f>
        <v>601</v>
      </c>
      <c r="E86" s="70"/>
    </row>
    <row r="87" spans="1:5" x14ac:dyDescent="0.4">
      <c r="A87" s="71" t="s">
        <v>88</v>
      </c>
      <c r="B87" s="72">
        <f>HLOOKUP(SUBSTITUTE(CONCATENATE(SUBSTITUTE(SUBSTITUTE(A87,"歳","")," ",""),"_男")," ",""),[7]データ貼り付けシート!$1:$2,2,FALSE)</f>
        <v>202</v>
      </c>
      <c r="C87" s="72">
        <f>HLOOKUP(SUBSTITUTE(CONCATENATE(SUBSTITUTE(SUBSTITUTE(A87,"歳","")," ",""),"_女")," ",""),[7]データ貼り付けシート!$1:$2,2,FALSE)</f>
        <v>272</v>
      </c>
      <c r="D87" s="72">
        <f>HLOOKUP(SUBSTITUTE(CONCATENATE(SUBSTITUTE(SUBSTITUTE(A87,"歳","")," ",""),"_全体")," ",""),[7]データ貼り付けシート!$1:$2,2,FALSE)</f>
        <v>474</v>
      </c>
      <c r="E87" s="70"/>
    </row>
    <row r="88" spans="1:5" x14ac:dyDescent="0.4">
      <c r="A88" s="71" t="s">
        <v>89</v>
      </c>
      <c r="B88" s="72">
        <f>HLOOKUP(SUBSTITUTE(CONCATENATE(SUBSTITUTE(SUBSTITUTE(A88,"歳","")," ",""),"_男")," ",""),[7]データ貼り付けシート!$1:$2,2,FALSE)</f>
        <v>151</v>
      </c>
      <c r="C88" s="72">
        <f>HLOOKUP(SUBSTITUTE(CONCATENATE(SUBSTITUTE(SUBSTITUTE(A88,"歳","")," ",""),"_女")," ",""),[7]データ貼り付けシート!$1:$2,2,FALSE)</f>
        <v>280</v>
      </c>
      <c r="D88" s="72">
        <f>HLOOKUP(SUBSTITUTE(CONCATENATE(SUBSTITUTE(SUBSTITUTE(A88,"歳","")," ",""),"_全体")," ",""),[7]データ貼り付けシート!$1:$2,2,FALSE)</f>
        <v>431</v>
      </c>
      <c r="E88" s="70"/>
    </row>
    <row r="89" spans="1:5" x14ac:dyDescent="0.4">
      <c r="A89" s="71" t="s">
        <v>90</v>
      </c>
      <c r="B89" s="72">
        <f>HLOOKUP(SUBSTITUTE(CONCATENATE(SUBSTITUTE(SUBSTITUTE(A89,"歳","")," ",""),"_男")," ",""),[7]データ貼り付けシート!$1:$2,2,FALSE)</f>
        <v>136</v>
      </c>
      <c r="C89" s="72">
        <f>HLOOKUP(SUBSTITUTE(CONCATENATE(SUBSTITUTE(SUBSTITUTE(A89,"歳","")," ",""),"_女")," ",""),[7]データ貼り付けシート!$1:$2,2,FALSE)</f>
        <v>243</v>
      </c>
      <c r="D89" s="72">
        <f>HLOOKUP(SUBSTITUTE(CONCATENATE(SUBSTITUTE(SUBSTITUTE(A89,"歳","")," ",""),"_全体")," ",""),[7]データ貼り付けシート!$1:$2,2,FALSE)</f>
        <v>379</v>
      </c>
      <c r="E89" s="70"/>
    </row>
    <row r="90" spans="1:5" x14ac:dyDescent="0.4">
      <c r="A90" s="71" t="s">
        <v>91</v>
      </c>
      <c r="B90" s="72">
        <f>HLOOKUP(SUBSTITUTE(CONCATENATE(SUBSTITUTE(SUBSTITUTE(A90,"歳","")," ",""),"_男")," ",""),[7]データ貼り付けシート!$1:$2,2,FALSE)</f>
        <v>119</v>
      </c>
      <c r="C90" s="72">
        <f>HLOOKUP(SUBSTITUTE(CONCATENATE(SUBSTITUTE(SUBSTITUTE(A90,"歳","")," ",""),"_女")," ",""),[7]データ貼り付けシート!$1:$2,2,FALSE)</f>
        <v>183</v>
      </c>
      <c r="D90" s="72">
        <f>HLOOKUP(SUBSTITUTE(CONCATENATE(SUBSTITUTE(SUBSTITUTE(A90,"歳","")," ",""),"_全体")," ",""),[7]データ貼り付けシート!$1:$2,2,FALSE)</f>
        <v>302</v>
      </c>
      <c r="E90" s="70"/>
    </row>
    <row r="91" spans="1:5" x14ac:dyDescent="0.4">
      <c r="A91" s="71" t="s">
        <v>92</v>
      </c>
      <c r="B91" s="72">
        <f>HLOOKUP(SUBSTITUTE(CONCATENATE(SUBSTITUTE(SUBSTITUTE(A91,"歳","")," ",""),"_男")," ",""),[7]データ貼り付けシート!$1:$2,2,FALSE)</f>
        <v>91</v>
      </c>
      <c r="C91" s="72">
        <f>HLOOKUP(SUBSTITUTE(CONCATENATE(SUBSTITUTE(SUBSTITUTE(A91,"歳","")," ",""),"_女")," ",""),[7]データ貼り付けシート!$1:$2,2,FALSE)</f>
        <v>170</v>
      </c>
      <c r="D91" s="72">
        <f>HLOOKUP(SUBSTITUTE(CONCATENATE(SUBSTITUTE(SUBSTITUTE(A91,"歳","")," ",""),"_全体")," ",""),[7]データ貼り付けシート!$1:$2,2,FALSE)</f>
        <v>261</v>
      </c>
      <c r="E91" s="70"/>
    </row>
    <row r="92" spans="1:5" x14ac:dyDescent="0.4">
      <c r="A92" s="71" t="s">
        <v>93</v>
      </c>
      <c r="B92" s="72">
        <f>HLOOKUP(SUBSTITUTE(CONCATENATE(SUBSTITUTE(SUBSTITUTE(A92,"歳","")," ",""),"_男")," ",""),[7]データ貼り付けシート!$1:$2,2,FALSE)</f>
        <v>58</v>
      </c>
      <c r="C92" s="72">
        <f>HLOOKUP(SUBSTITUTE(CONCATENATE(SUBSTITUTE(SUBSTITUTE(A92,"歳","")," ",""),"_女")," ",""),[7]データ貼り付けシート!$1:$2,2,FALSE)</f>
        <v>143</v>
      </c>
      <c r="D92" s="72">
        <f>HLOOKUP(SUBSTITUTE(CONCATENATE(SUBSTITUTE(SUBSTITUTE(A92,"歳","")," ",""),"_全体")," ",""),[7]データ貼り付けシート!$1:$2,2,FALSE)</f>
        <v>201</v>
      </c>
      <c r="E92" s="70"/>
    </row>
    <row r="93" spans="1:5" x14ac:dyDescent="0.4">
      <c r="A93" s="71" t="s">
        <v>94</v>
      </c>
      <c r="B93" s="72">
        <f>HLOOKUP(SUBSTITUTE(CONCATENATE(SUBSTITUTE(SUBSTITUTE(A93,"歳","")," ",""),"_男")," ",""),[7]データ貼り付けシート!$1:$2,2,FALSE)</f>
        <v>59</v>
      </c>
      <c r="C93" s="72">
        <f>HLOOKUP(SUBSTITUTE(CONCATENATE(SUBSTITUTE(SUBSTITUTE(A93,"歳","")," ",""),"_女")," ",""),[7]データ貼り付けシート!$1:$2,2,FALSE)</f>
        <v>146</v>
      </c>
      <c r="D93" s="72">
        <f>HLOOKUP(SUBSTITUTE(CONCATENATE(SUBSTITUTE(SUBSTITUTE(A93,"歳","")," ",""),"_全体")," ",""),[7]データ貼り付けシート!$1:$2,2,FALSE)</f>
        <v>205</v>
      </c>
      <c r="E93" s="70"/>
    </row>
    <row r="94" spans="1:5" x14ac:dyDescent="0.4">
      <c r="A94" s="71" t="s">
        <v>95</v>
      </c>
      <c r="B94" s="72">
        <f>HLOOKUP(SUBSTITUTE(CONCATENATE(SUBSTITUTE(SUBSTITUTE(A94,"歳","")," ",""),"_男")," ",""),[7]データ貼り付けシート!$1:$2,2,FALSE)</f>
        <v>48</v>
      </c>
      <c r="C94" s="72">
        <f>HLOOKUP(SUBSTITUTE(CONCATENATE(SUBSTITUTE(SUBSTITUTE(A94,"歳","")," ",""),"_女")," ",""),[7]データ貼り付けシート!$1:$2,2,FALSE)</f>
        <v>102</v>
      </c>
      <c r="D94" s="72">
        <f>HLOOKUP(SUBSTITUTE(CONCATENATE(SUBSTITUTE(SUBSTITUTE(A94,"歳","")," ",""),"_全体")," ",""),[7]データ貼り付けシート!$1:$2,2,FALSE)</f>
        <v>150</v>
      </c>
      <c r="E94" s="70"/>
    </row>
    <row r="95" spans="1:5" x14ac:dyDescent="0.4">
      <c r="A95" s="71" t="s">
        <v>96</v>
      </c>
      <c r="B95" s="72">
        <f>HLOOKUP(SUBSTITUTE(CONCATENATE(SUBSTITUTE(SUBSTITUTE(A95,"歳","")," ",""),"_男")," ",""),[7]データ貼り付けシート!$1:$2,2,FALSE)</f>
        <v>34</v>
      </c>
      <c r="C95" s="72">
        <f>HLOOKUP(SUBSTITUTE(CONCATENATE(SUBSTITUTE(SUBSTITUTE(A95,"歳","")," ",""),"_女")," ",""),[7]データ貼り付けシート!$1:$2,2,FALSE)</f>
        <v>101</v>
      </c>
      <c r="D95" s="72">
        <f>HLOOKUP(SUBSTITUTE(CONCATENATE(SUBSTITUTE(SUBSTITUTE(A95,"歳","")," ",""),"_全体")," ",""),[7]データ貼り付けシート!$1:$2,2,FALSE)</f>
        <v>135</v>
      </c>
      <c r="E95" s="70"/>
    </row>
    <row r="96" spans="1:5" x14ac:dyDescent="0.4">
      <c r="A96" s="71" t="s">
        <v>97</v>
      </c>
      <c r="B96" s="72">
        <f>HLOOKUP(SUBSTITUTE(CONCATENATE(SUBSTITUTE(SUBSTITUTE(A96,"歳","")," ",""),"_男")," ",""),[7]データ貼り付けシート!$1:$2,2,FALSE)</f>
        <v>19</v>
      </c>
      <c r="C96" s="72">
        <f>HLOOKUP(SUBSTITUTE(CONCATENATE(SUBSTITUTE(SUBSTITUTE(A96,"歳","")," ",""),"_女")," ",""),[7]データ貼り付けシート!$1:$2,2,FALSE)</f>
        <v>76</v>
      </c>
      <c r="D96" s="72">
        <f>HLOOKUP(SUBSTITUTE(CONCATENATE(SUBSTITUTE(SUBSTITUTE(A96,"歳","")," ",""),"_全体")," ",""),[7]データ貼り付けシート!$1:$2,2,FALSE)</f>
        <v>95</v>
      </c>
      <c r="E96" s="70"/>
    </row>
    <row r="97" spans="1:5" x14ac:dyDescent="0.4">
      <c r="A97" s="71" t="s">
        <v>98</v>
      </c>
      <c r="B97" s="72">
        <f>HLOOKUP(SUBSTITUTE(CONCATENATE(SUBSTITUTE(SUBSTITUTE(A97,"歳","")," ",""),"_男")," ",""),[7]データ貼り付けシート!$1:$2,2,FALSE)</f>
        <v>16</v>
      </c>
      <c r="C97" s="72">
        <f>HLOOKUP(SUBSTITUTE(CONCATENATE(SUBSTITUTE(SUBSTITUTE(A97,"歳","")," ",""),"_女")," ",""),[7]データ貼り付けシート!$1:$2,2,FALSE)</f>
        <v>64</v>
      </c>
      <c r="D97" s="72">
        <f>HLOOKUP(SUBSTITUTE(CONCATENATE(SUBSTITUTE(SUBSTITUTE(A97,"歳","")," ",""),"_全体")," ",""),[7]データ貼り付けシート!$1:$2,2,FALSE)</f>
        <v>80</v>
      </c>
      <c r="E97" s="70"/>
    </row>
    <row r="98" spans="1:5" x14ac:dyDescent="0.4">
      <c r="A98" s="71" t="s">
        <v>99</v>
      </c>
      <c r="B98" s="72">
        <f>HLOOKUP(SUBSTITUTE(CONCATENATE(SUBSTITUTE(SUBSTITUTE(A98,"歳","")," ",""),"_男")," ",""),[7]データ貼り付けシート!$1:$2,2,FALSE)</f>
        <v>7</v>
      </c>
      <c r="C98" s="72">
        <f>HLOOKUP(SUBSTITUTE(CONCATENATE(SUBSTITUTE(SUBSTITUTE(A98,"歳","")," ",""),"_女")," ",""),[7]データ貼り付けシート!$1:$2,2,FALSE)</f>
        <v>51</v>
      </c>
      <c r="D98" s="72">
        <f>HLOOKUP(SUBSTITUTE(CONCATENATE(SUBSTITUTE(SUBSTITUTE(A98,"歳","")," ",""),"_全体")," ",""),[7]データ貼り付けシート!$1:$2,2,FALSE)</f>
        <v>58</v>
      </c>
      <c r="E98" s="70"/>
    </row>
    <row r="99" spans="1:5" x14ac:dyDescent="0.4">
      <c r="A99" s="71" t="s">
        <v>100</v>
      </c>
      <c r="B99" s="72">
        <f>HLOOKUP(SUBSTITUTE(CONCATENATE(SUBSTITUTE(SUBSTITUTE(A99,"歳","")," ",""),"_男")," ",""),[7]データ貼り付けシート!$1:$2,2,FALSE)</f>
        <v>7</v>
      </c>
      <c r="C99" s="72">
        <f>HLOOKUP(SUBSTITUTE(CONCATENATE(SUBSTITUTE(SUBSTITUTE(A99,"歳","")," ",""),"_女")," ",""),[7]データ貼り付けシート!$1:$2,2,FALSE)</f>
        <v>30</v>
      </c>
      <c r="D99" s="72">
        <f>HLOOKUP(SUBSTITUTE(CONCATENATE(SUBSTITUTE(SUBSTITUTE(A99,"歳","")," ",""),"_全体")," ",""),[7]データ貼り付けシート!$1:$2,2,FALSE)</f>
        <v>37</v>
      </c>
      <c r="E99" s="70"/>
    </row>
    <row r="100" spans="1:5" x14ac:dyDescent="0.4">
      <c r="A100" s="71" t="s">
        <v>101</v>
      </c>
      <c r="B100" s="72">
        <f>HLOOKUP(SUBSTITUTE(CONCATENATE(SUBSTITUTE(SUBSTITUTE(A100,"歳","")," ",""),"_男")," ",""),[7]データ貼り付けシート!$1:$2,2,FALSE)</f>
        <v>7</v>
      </c>
      <c r="C100" s="72">
        <f>HLOOKUP(SUBSTITUTE(CONCATENATE(SUBSTITUTE(SUBSTITUTE(A100,"歳","")," ",""),"_女")," ",""),[7]データ貼り付けシート!$1:$2,2,FALSE)</f>
        <v>35</v>
      </c>
      <c r="D100" s="72">
        <f>HLOOKUP(SUBSTITUTE(CONCATENATE(SUBSTITUTE(SUBSTITUTE(A100,"歳","")," ",""),"_全体")," ",""),[7]データ貼り付けシート!$1:$2,2,FALSE)</f>
        <v>42</v>
      </c>
      <c r="E100" s="70"/>
    </row>
    <row r="101" spans="1:5" x14ac:dyDescent="0.4">
      <c r="A101" s="71" t="s">
        <v>102</v>
      </c>
      <c r="B101" s="72">
        <f>HLOOKUP(SUBSTITUTE(CONCATENATE(SUBSTITUTE(SUBSTITUTE(A101,"歳","")," ",""),"_男")," ",""),[7]データ貼り付けシート!$1:$2,2,FALSE)</f>
        <v>3</v>
      </c>
      <c r="C101" s="72">
        <f>HLOOKUP(SUBSTITUTE(CONCATENATE(SUBSTITUTE(SUBSTITUTE(A101,"歳","")," ",""),"_女")," ",""),[7]データ貼り付けシート!$1:$2,2,FALSE)</f>
        <v>17</v>
      </c>
      <c r="D101" s="72">
        <f>HLOOKUP(SUBSTITUTE(CONCATENATE(SUBSTITUTE(SUBSTITUTE(A101,"歳","")," ",""),"_全体")," ",""),[7]データ貼り付けシート!$1:$2,2,FALSE)</f>
        <v>20</v>
      </c>
      <c r="E101" s="70"/>
    </row>
    <row r="102" spans="1:5" x14ac:dyDescent="0.4">
      <c r="A102" s="71" t="s">
        <v>103</v>
      </c>
      <c r="B102" s="72">
        <f>HLOOKUP(SUBSTITUTE(CONCATENATE(SUBSTITUTE(SUBSTITUTE(A102,"歳","")," ",""),"_男")," ",""),[7]データ貼り付けシート!$1:$2,2,FALSE)</f>
        <v>2</v>
      </c>
      <c r="C102" s="72">
        <f>HLOOKUP(SUBSTITUTE(CONCATENATE(SUBSTITUTE(SUBSTITUTE(A102,"歳","")," ",""),"_女")," ",""),[7]データ貼り付けシート!$1:$2,2,FALSE)</f>
        <v>20</v>
      </c>
      <c r="D102" s="72">
        <f>HLOOKUP(SUBSTITUTE(CONCATENATE(SUBSTITUTE(SUBSTITUTE(A102,"歳","")," ",""),"_全体")," ",""),[7]データ貼り付けシート!$1:$2,2,FALSE)</f>
        <v>22</v>
      </c>
      <c r="E102" s="70"/>
    </row>
    <row r="103" spans="1:5" x14ac:dyDescent="0.4">
      <c r="A103" s="71" t="s">
        <v>104</v>
      </c>
      <c r="B103" s="72">
        <f>HLOOKUP(SUBSTITUTE(CONCATENATE(SUBSTITUTE(SUBSTITUTE(A103,"歳","")," ",""),"_男")," ",""),[7]データ貼り付けシート!$1:$2,2,FALSE)</f>
        <v>1</v>
      </c>
      <c r="C103" s="72">
        <f>HLOOKUP(SUBSTITUTE(CONCATENATE(SUBSTITUTE(SUBSTITUTE(A103,"歳","")," ",""),"_女")," ",""),[7]データ貼り付けシート!$1:$2,2,FALSE)</f>
        <v>7</v>
      </c>
      <c r="D103" s="72">
        <f>HLOOKUP(SUBSTITUTE(CONCATENATE(SUBSTITUTE(SUBSTITUTE(A103,"歳","")," ",""),"_全体")," ",""),[7]データ貼り付けシート!$1:$2,2,FALSE)</f>
        <v>8</v>
      </c>
      <c r="E103" s="70"/>
    </row>
    <row r="104" spans="1:5" x14ac:dyDescent="0.4">
      <c r="A104" s="71" t="s">
        <v>105</v>
      </c>
      <c r="B104" s="72">
        <f>HLOOKUP(SUBSTITUTE(CONCATENATE(SUBSTITUTE(SUBSTITUTE(A104,"歳","")," ",""),"_男")," ",""),[7]データ貼り付けシート!$1:$2,2,FALSE)</f>
        <v>0</v>
      </c>
      <c r="C104" s="72">
        <f>HLOOKUP(SUBSTITUTE(CONCATENATE(SUBSTITUTE(SUBSTITUTE(A104,"歳","")," ",""),"_女")," ",""),[7]データ貼り付けシート!$1:$2,2,FALSE)</f>
        <v>3</v>
      </c>
      <c r="D104" s="72">
        <f>HLOOKUP(SUBSTITUTE(CONCATENATE(SUBSTITUTE(SUBSTITUTE(A104,"歳","")," ",""),"_全体")," ",""),[7]データ貼り付けシート!$1:$2,2,FALSE)</f>
        <v>3</v>
      </c>
      <c r="E104" s="70"/>
    </row>
    <row r="105" spans="1:5" x14ac:dyDescent="0.4">
      <c r="A105" s="71" t="s">
        <v>106</v>
      </c>
      <c r="B105" s="72">
        <f>HLOOKUP(SUBSTITUTE(CONCATENATE(SUBSTITUTE(SUBSTITUTE(A105,"歳","")," ",""),"_男")," ",""),[7]データ貼り付けシート!$1:$2,2,FALSE)</f>
        <v>0</v>
      </c>
      <c r="C105" s="72">
        <f>HLOOKUP(SUBSTITUTE(CONCATENATE(SUBSTITUTE(SUBSTITUTE(A105,"歳","")," ",""),"_女")," ",""),[7]データ貼り付けシート!$1:$2,2,FALSE)</f>
        <v>1</v>
      </c>
      <c r="D105" s="72">
        <f>HLOOKUP(SUBSTITUTE(CONCATENATE(SUBSTITUTE(SUBSTITUTE(A105,"歳","")," ",""),"_全体")," ",""),[7]データ貼り付けシート!$1:$2,2,FALSE)</f>
        <v>1</v>
      </c>
      <c r="E105" s="70"/>
    </row>
    <row r="106" spans="1:5" x14ac:dyDescent="0.4">
      <c r="A106" s="71" t="s">
        <v>107</v>
      </c>
      <c r="B106" s="72">
        <f>HLOOKUP(SUBSTITUTE(CONCATENATE(SUBSTITUTE(SUBSTITUTE(A106,"歳","")," ",""),"_男")," ",""),[7]データ貼り付けシート!$1:$2,2,FALSE)</f>
        <v>1</v>
      </c>
      <c r="C106" s="72">
        <f>HLOOKUP(SUBSTITUTE(CONCATENATE(SUBSTITUTE(SUBSTITUTE(A106,"歳","")," ",""),"_女")," ",""),[7]データ貼り付けシート!$1:$2,2,FALSE)</f>
        <v>4</v>
      </c>
      <c r="D106" s="72">
        <f>HLOOKUP(SUBSTITUTE(CONCATENATE(SUBSTITUTE(SUBSTITUTE(A106,"歳","")," ",""),"_全体")," ",""),[7]データ貼り付けシート!$1:$2,2,FALSE)</f>
        <v>5</v>
      </c>
      <c r="E106" s="70"/>
    </row>
    <row r="107" spans="1:5" x14ac:dyDescent="0.4">
      <c r="A107" s="71" t="s">
        <v>108</v>
      </c>
      <c r="B107" s="72">
        <f>HLOOKUP(SUBSTITUTE(CONCATENATE(SUBSTITUTE(SUBSTITUTE(A107,"歳","")," ",""),"_男")," ",""),[7]データ貼り付けシート!$1:$2,2,FALSE)</f>
        <v>0</v>
      </c>
      <c r="C107" s="72">
        <f>HLOOKUP(SUBSTITUTE(CONCATENATE(SUBSTITUTE(SUBSTITUTE(A107,"歳","")," ",""),"_女")," ",""),[7]データ貼り付けシート!$1:$2,2,FALSE)</f>
        <v>3</v>
      </c>
      <c r="D107" s="72">
        <f>HLOOKUP(SUBSTITUTE(CONCATENATE(SUBSTITUTE(SUBSTITUTE(A107,"歳","")," ",""),"_全体")," ",""),[7]データ貼り付けシート!$1:$2,2,FALSE)</f>
        <v>3</v>
      </c>
      <c r="E107" s="70"/>
    </row>
    <row r="108" spans="1:5" x14ac:dyDescent="0.4">
      <c r="A108" s="71" t="s">
        <v>166</v>
      </c>
      <c r="B108" s="72">
        <f>IF(ISERROR(HLOOKUP("105以上_男",[7]データ貼り付けシート!$1:$2,2,FALSE)),0,HLOOKUP("105以上_男",[7]データ貼り付けシート!$1:$2,2,FALSE))+IF(ISERROR(HLOOKUP("105_男",[7]データ貼り付けシート!$1:$2,2,FALSE)),0,HLOOKUP("105_男",[7]データ貼り付けシート!$1:$2,2,FALSE))</f>
        <v>0</v>
      </c>
      <c r="C108" s="72">
        <f>IF(ISERROR(HLOOKUP("105以上_女",[7]データ貼り付けシート!$1:$2,2,FALSE)),0,HLOOKUP("105以上_女",[7]データ貼り付けシート!$1:$2,2,FALSE))+IF(ISERROR(HLOOKUP("105_女",[7]データ貼り付けシート!$1:$2,2,FALSE)),0,HLOOKUP("105_女",[7]データ貼り付けシート!$1:$2,2,FALSE))</f>
        <v>0</v>
      </c>
      <c r="D108" s="72">
        <f>B108+C108</f>
        <v>0</v>
      </c>
      <c r="E108" s="70"/>
    </row>
    <row r="109" spans="1:5" x14ac:dyDescent="0.4">
      <c r="A109" s="71" t="s">
        <v>163</v>
      </c>
      <c r="B109" s="72">
        <f>IF(ISERROR(HLOOKUP("106以上_男",[7]データ貼り付けシート!$1:$2,2,FALSE)),0,HLOOKUP("106以上_男",[7]データ貼り付けシート!$1:$2,2,FALSE))+IF(ISERROR(HLOOKUP("106_男",[7]データ貼り付けシート!$1:$2,2,FALSE)),0,HLOOKUP("106_男",[7]データ貼り付けシート!$1:$2,2,FALSE))</f>
        <v>0</v>
      </c>
      <c r="C109" s="72">
        <v>0</v>
      </c>
      <c r="D109" s="72">
        <v>0</v>
      </c>
      <c r="E109" s="70"/>
    </row>
    <row r="110" spans="1:5" x14ac:dyDescent="0.4">
      <c r="A110" s="71" t="s">
        <v>167</v>
      </c>
      <c r="B110" s="72">
        <f>IF(ISERROR(HLOOKUP("107以上_男",[7]データ貼り付けシート!$1:$2,2,FALSE)),0,HLOOKUP("107以上_男",[7]データ貼り付けシート!$1:$2,2,FALSE))+IF(ISERROR(HLOOKUP("107_男",[7]データ貼り付けシート!$1:$2,2,FALSE)),0,HLOOKUP("107_男",[7]データ貼り付けシート!$1:$2,2,FALSE))</f>
        <v>0</v>
      </c>
      <c r="C110" s="72">
        <v>1</v>
      </c>
      <c r="D110" s="72">
        <v>1</v>
      </c>
      <c r="E110" s="70"/>
    </row>
    <row r="111" spans="1:5" x14ac:dyDescent="0.4">
      <c r="A111" s="71" t="s">
        <v>168</v>
      </c>
      <c r="B111" s="72">
        <f>IF(ISERROR(HLOOKUP("108以上_男",[7]データ貼り付けシート!$1:$2,2,FALSE)),0,HLOOKUP("108以上_男",[7]データ貼り付けシート!$1:$2,2,FALSE))+IF(ISERROR(HLOOKUP("108_男",[7]データ貼り付けシート!$1:$2,2,FALSE)),0,HLOOKUP("108_男",[7]データ貼り付けシート!$1:$2,2,FALSE))</f>
        <v>0</v>
      </c>
      <c r="C111" s="72">
        <f>IF(ISERROR(HLOOKUP("108以上_女",[7]データ貼り付けシート!$1:$2,2,FALSE)),0,HLOOKUP("108以上_女",[7]データ貼り付けシート!$1:$2,2,FALSE))+IF(ISERROR(HLOOKUP("108_女",[7]データ貼り付けシート!$1:$2,2,FALSE)),0,HLOOKUP("108_女",[7]データ貼り付けシート!$1:$2,2,FALSE))</f>
        <v>0</v>
      </c>
      <c r="D111" s="72">
        <f t="shared" ref="D111:D113" si="0">B111+C111</f>
        <v>0</v>
      </c>
      <c r="E111" s="70"/>
    </row>
    <row r="112" spans="1:5" x14ac:dyDescent="0.4">
      <c r="A112" s="71" t="s">
        <v>169</v>
      </c>
      <c r="B112" s="72">
        <f>IF(ISERROR(HLOOKUP("109以上_男",[7]データ貼り付けシート!$1:$2,2,FALSE)),0,HLOOKUP("109以上_男",[7]データ貼り付けシート!$1:$2,2,FALSE))+IF(ISERROR(HLOOKUP("109_男",[7]データ貼り付けシート!$1:$2,2,FALSE)),0,HLOOKUP("109_男",[7]データ貼り付けシート!$1:$2,2,FALSE))</f>
        <v>0</v>
      </c>
      <c r="C112" s="72">
        <f>IF(ISERROR(HLOOKUP("109以上_女",[7]データ貼り付けシート!$1:$2,2,FALSE)),0,HLOOKUP("109以上_女",[7]データ貼り付けシート!$1:$2,2,FALSE))+IF(ISERROR(HLOOKUP("109_女",[7]データ貼り付けシート!$1:$2,2,FALSE)),0,HLOOKUP("109_女",[7]データ貼り付けシート!$1:$2,2,FALSE))</f>
        <v>0</v>
      </c>
      <c r="D112" s="72">
        <f t="shared" si="0"/>
        <v>0</v>
      </c>
      <c r="E112" s="70"/>
    </row>
    <row r="113" spans="1:5" x14ac:dyDescent="0.4">
      <c r="A113" s="71" t="s">
        <v>170</v>
      </c>
      <c r="B113" s="72">
        <f>IF(ISERROR(HLOOKUP("110以上_男",[7]データ貼り付けシート!$1:$2,2,FALSE)),0,HLOOKUP("110以上_男",[7]データ貼り付けシート!$1:$2,2,FALSE))+IF(ISERROR(HLOOKUP("110_男",[7]データ貼り付けシート!$1:$2,2,FALSE)),0,HLOOKUP("110_男",[7]データ貼り付けシート!$1:$2,2,FALSE))</f>
        <v>0</v>
      </c>
      <c r="C113" s="72">
        <f>IF(ISERROR(HLOOKUP("110以上_女",[7]データ貼り付けシート!$1:$2,2,FALSE)),0,HLOOKUP("107以上_女",[7]データ貼り付けシート!$1:$2,2,FALSE))+IF(ISERROR(HLOOKUP("110_女",[7]データ貼り付けシート!$1:$2,2,FALSE)),0,HLOOKUP("110_女",[7]データ貼り付けシート!$1:$2,2,FALSE))</f>
        <v>0</v>
      </c>
      <c r="D113" s="72">
        <f t="shared" si="0"/>
        <v>0</v>
      </c>
      <c r="E113" s="70"/>
    </row>
    <row r="114" spans="1:5" x14ac:dyDescent="0.4">
      <c r="A114" s="70"/>
      <c r="B114" s="73"/>
      <c r="C114" s="73"/>
      <c r="D114" s="73"/>
      <c r="E114" s="70"/>
    </row>
    <row r="115" spans="1:5" x14ac:dyDescent="0.4">
      <c r="A115" s="74" t="s">
        <v>0</v>
      </c>
      <c r="B115" s="74" t="s">
        <v>1</v>
      </c>
      <c r="C115" s="75" t="s">
        <v>2</v>
      </c>
      <c r="D115" s="69" t="s">
        <v>3</v>
      </c>
      <c r="E115" s="70"/>
    </row>
    <row r="116" spans="1:5" x14ac:dyDescent="0.4">
      <c r="A116" s="74" t="s">
        <v>115</v>
      </c>
      <c r="B116" s="76">
        <f>SUM(B3:B8)</f>
        <v>2358</v>
      </c>
      <c r="C116" s="77">
        <f>SUM(C3:C8)</f>
        <v>2252</v>
      </c>
      <c r="D116" s="72">
        <f>B116+C116</f>
        <v>4610</v>
      </c>
      <c r="E116" s="70"/>
    </row>
    <row r="117" spans="1:5" x14ac:dyDescent="0.4">
      <c r="A117" s="74" t="s">
        <v>116</v>
      </c>
      <c r="B117" s="76">
        <f>SUM(B9:B14)</f>
        <v>2203</v>
      </c>
      <c r="C117" s="76">
        <f>SUM(C9:C14)</f>
        <v>2129</v>
      </c>
      <c r="D117" s="72">
        <f>B117+C117</f>
        <v>4332</v>
      </c>
      <c r="E117" s="70"/>
    </row>
    <row r="118" spans="1:5" x14ac:dyDescent="0.4">
      <c r="A118" s="74" t="s">
        <v>117</v>
      </c>
      <c r="B118" s="76">
        <f>SUM(B15:B17)</f>
        <v>1173</v>
      </c>
      <c r="C118" s="76">
        <f>SUM(C15:C17)</f>
        <v>1076</v>
      </c>
      <c r="D118" s="72">
        <f>B118+C118</f>
        <v>2249</v>
      </c>
      <c r="E118" s="70"/>
    </row>
    <row r="119" spans="1:5" x14ac:dyDescent="0.4">
      <c r="A119" s="74" t="s">
        <v>171</v>
      </c>
      <c r="B119" s="76">
        <f>SUM(B116:B118)</f>
        <v>5734</v>
      </c>
      <c r="C119" s="76">
        <f>SUM(C116:C118)</f>
        <v>5457</v>
      </c>
      <c r="D119" s="76">
        <f>SUM(D116:D118)</f>
        <v>11191</v>
      </c>
      <c r="E119" s="78">
        <f>D119/D135</f>
        <v>0.12938918500190771</v>
      </c>
    </row>
    <row r="120" spans="1:5" x14ac:dyDescent="0.4">
      <c r="A120" s="70"/>
      <c r="B120" s="70"/>
      <c r="C120" s="70"/>
      <c r="D120" s="70"/>
      <c r="E120" s="70"/>
    </row>
    <row r="121" spans="1:5" x14ac:dyDescent="0.4">
      <c r="A121" s="69" t="s">
        <v>0</v>
      </c>
      <c r="B121" s="69" t="s">
        <v>1</v>
      </c>
      <c r="C121" s="69" t="s">
        <v>2</v>
      </c>
      <c r="D121" s="69" t="s">
        <v>3</v>
      </c>
      <c r="E121" s="70"/>
    </row>
    <row r="122" spans="1:5" x14ac:dyDescent="0.4">
      <c r="A122" s="69" t="s">
        <v>119</v>
      </c>
      <c r="B122" s="72">
        <f>SUM(B18:B20)</f>
        <v>1188</v>
      </c>
      <c r="C122" s="72">
        <f>SUM(C18:C20)</f>
        <v>1153</v>
      </c>
      <c r="D122" s="72">
        <f t="shared" ref="D122:D126" si="1">B122+C122</f>
        <v>2341</v>
      </c>
      <c r="E122" s="70"/>
    </row>
    <row r="123" spans="1:5" x14ac:dyDescent="0.4">
      <c r="A123" s="69" t="s">
        <v>120</v>
      </c>
      <c r="B123" s="72">
        <f>SUM(B21:B32)</f>
        <v>5920</v>
      </c>
      <c r="C123" s="72">
        <f>SUM(C21:C32)</f>
        <v>5525</v>
      </c>
      <c r="D123" s="72">
        <f t="shared" si="1"/>
        <v>11445</v>
      </c>
      <c r="E123" s="70"/>
    </row>
    <row r="124" spans="1:5" x14ac:dyDescent="0.4">
      <c r="A124" s="69" t="s">
        <v>121</v>
      </c>
      <c r="B124" s="72">
        <f>SUM(B33:B42)</f>
        <v>5644</v>
      </c>
      <c r="C124" s="72">
        <f>SUM(C33:C42)</f>
        <v>5358</v>
      </c>
      <c r="D124" s="72">
        <f t="shared" si="1"/>
        <v>11002</v>
      </c>
      <c r="E124" s="70"/>
    </row>
    <row r="125" spans="1:5" x14ac:dyDescent="0.4">
      <c r="A125" s="69" t="s">
        <v>122</v>
      </c>
      <c r="B125" s="72">
        <f>SUM(B43:B52)</f>
        <v>7309</v>
      </c>
      <c r="C125" s="72">
        <f>SUM(C43:C52)</f>
        <v>6681</v>
      </c>
      <c r="D125" s="72">
        <f t="shared" si="1"/>
        <v>13990</v>
      </c>
      <c r="E125" s="70"/>
    </row>
    <row r="126" spans="1:5" x14ac:dyDescent="0.4">
      <c r="A126" s="79" t="s">
        <v>123</v>
      </c>
      <c r="B126" s="72">
        <f>SUM(B53:B67)</f>
        <v>7492</v>
      </c>
      <c r="C126" s="72">
        <f>SUM(C53:C67)</f>
        <v>6975</v>
      </c>
      <c r="D126" s="72">
        <f t="shared" si="1"/>
        <v>14467</v>
      </c>
      <c r="E126" s="70"/>
    </row>
    <row r="127" spans="1:5" ht="24" x14ac:dyDescent="0.4">
      <c r="A127" s="74" t="s">
        <v>154</v>
      </c>
      <c r="B127" s="77">
        <f>SUM(B122:B126)</f>
        <v>27553</v>
      </c>
      <c r="C127" s="77">
        <f>SUM(C122:C126)</f>
        <v>25692</v>
      </c>
      <c r="D127" s="77">
        <f>SUM(D122:D126)</f>
        <v>53245</v>
      </c>
      <c r="E127" s="78">
        <f>D127/D135</f>
        <v>0.615613185186898</v>
      </c>
    </row>
    <row r="128" spans="1:5" x14ac:dyDescent="0.4">
      <c r="A128" s="70"/>
      <c r="B128" s="70"/>
      <c r="C128" s="70"/>
      <c r="D128" s="70"/>
      <c r="E128" s="70"/>
    </row>
    <row r="129" spans="1:5" x14ac:dyDescent="0.4">
      <c r="A129" s="69" t="s">
        <v>0</v>
      </c>
      <c r="B129" s="69" t="s">
        <v>1</v>
      </c>
      <c r="C129" s="69" t="s">
        <v>2</v>
      </c>
      <c r="D129" s="69" t="s">
        <v>3</v>
      </c>
      <c r="E129" s="70"/>
    </row>
    <row r="130" spans="1:5" x14ac:dyDescent="0.4">
      <c r="A130" s="69" t="s">
        <v>125</v>
      </c>
      <c r="B130" s="72">
        <f>SUM(B68:B72)</f>
        <v>2490</v>
      </c>
      <c r="C130" s="72">
        <f>SUM(C68:C72)</f>
        <v>2793</v>
      </c>
      <c r="D130" s="72">
        <f t="shared" ref="D130:D131" si="2">B130+C130</f>
        <v>5283</v>
      </c>
      <c r="E130" s="70"/>
    </row>
    <row r="131" spans="1:5" x14ac:dyDescent="0.4">
      <c r="A131" s="79" t="s">
        <v>126</v>
      </c>
      <c r="B131" s="72">
        <f>SUM(B73:B113)</f>
        <v>7276</v>
      </c>
      <c r="C131" s="72">
        <f>SUM(C73:C113)</f>
        <v>9496</v>
      </c>
      <c r="D131" s="72">
        <f t="shared" si="2"/>
        <v>16772</v>
      </c>
      <c r="E131" s="70"/>
    </row>
    <row r="132" spans="1:5" x14ac:dyDescent="0.4">
      <c r="A132" s="74" t="s">
        <v>155</v>
      </c>
      <c r="B132" s="77">
        <f>SUM(B130:B131)</f>
        <v>9766</v>
      </c>
      <c r="C132" s="77">
        <f>SUM(C130:C131)</f>
        <v>12289</v>
      </c>
      <c r="D132" s="77">
        <f>SUM(D130:D131)</f>
        <v>22055</v>
      </c>
      <c r="E132" s="78">
        <f>D132/D135</f>
        <v>0.25499762981119423</v>
      </c>
    </row>
    <row r="133" spans="1:5" x14ac:dyDescent="0.4">
      <c r="A133" s="70"/>
      <c r="B133" s="70"/>
      <c r="C133" s="70"/>
      <c r="D133" s="70"/>
      <c r="E133" s="70"/>
    </row>
    <row r="134" spans="1:5" x14ac:dyDescent="0.4">
      <c r="A134" s="160" t="s">
        <v>128</v>
      </c>
      <c r="B134" s="69" t="s">
        <v>1</v>
      </c>
      <c r="C134" s="69" t="s">
        <v>2</v>
      </c>
      <c r="D134" s="69" t="s">
        <v>3</v>
      </c>
      <c r="E134" s="70"/>
    </row>
    <row r="135" spans="1:5" x14ac:dyDescent="0.4">
      <c r="A135" s="161"/>
      <c r="B135" s="72">
        <f>SUM(B3:B113)</f>
        <v>43053</v>
      </c>
      <c r="C135" s="72">
        <f>SUM(C3:C113)</f>
        <v>43438</v>
      </c>
      <c r="D135" s="72">
        <f>B135+C135</f>
        <v>86491</v>
      </c>
      <c r="E135" s="70"/>
    </row>
    <row r="137" spans="1:5" x14ac:dyDescent="0.4">
      <c r="A137" s="67" t="s">
        <v>129</v>
      </c>
    </row>
  </sheetData>
  <mergeCells count="2">
    <mergeCell ref="A1:E1"/>
    <mergeCell ref="A134:A135"/>
  </mergeCells>
  <phoneticPr fontId="16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7"/>
  <sheetViews>
    <sheetView topLeftCell="A100" workbookViewId="0">
      <selection activeCell="F110" sqref="F110"/>
    </sheetView>
  </sheetViews>
  <sheetFormatPr defaultRowHeight="18.75" x14ac:dyDescent="0.4"/>
  <cols>
    <col min="1" max="6" width="9" style="80"/>
    <col min="7" max="7" width="35.125" style="80" bestFit="1" customWidth="1"/>
    <col min="8" max="16384" width="9" style="80"/>
  </cols>
  <sheetData>
    <row r="1" spans="1:7" ht="19.5" x14ac:dyDescent="0.4">
      <c r="A1" s="162" t="str">
        <f>HLOOKUP("基準日",[8]データ貼り付けシート!$1:$2,2,FALSE)</f>
        <v>令和元年 8月31日</v>
      </c>
      <c r="B1" s="162"/>
      <c r="C1" s="162"/>
      <c r="D1" s="162"/>
      <c r="E1" s="162"/>
      <c r="G1" s="81"/>
    </row>
    <row r="2" spans="1:7" x14ac:dyDescent="0.4">
      <c r="A2" s="82" t="s">
        <v>0</v>
      </c>
      <c r="B2" s="82" t="s">
        <v>1</v>
      </c>
      <c r="C2" s="82" t="s">
        <v>2</v>
      </c>
      <c r="D2" s="82" t="s">
        <v>3</v>
      </c>
      <c r="E2" s="83"/>
    </row>
    <row r="3" spans="1:7" x14ac:dyDescent="0.4">
      <c r="A3" s="84" t="s">
        <v>172</v>
      </c>
      <c r="B3" s="85">
        <f>HLOOKUP(SUBSTITUTE(CONCATENATE(SUBSTITUTE(SUBSTITUTE(A3,"歳","")," ",""),"_男")," ",""),[8]データ貼り付けシート!$1:$2,2,FALSE)</f>
        <v>406</v>
      </c>
      <c r="C3" s="85">
        <f>HLOOKUP(SUBSTITUTE(CONCATENATE(SUBSTITUTE(SUBSTITUTE(A3,"歳","")," ",""),"_女")," ",""),[8]データ貼り付けシート!$1:$2,2,FALSE)</f>
        <v>363</v>
      </c>
      <c r="D3" s="85">
        <f>HLOOKUP(SUBSTITUTE(CONCATENATE(SUBSTITUTE(SUBSTITUTE(A3,"歳","")," ",""),"_全体")," ",""),[8]データ貼り付けシート!$1:$2,2,FALSE)</f>
        <v>769</v>
      </c>
      <c r="E3" s="83"/>
    </row>
    <row r="4" spans="1:7" x14ac:dyDescent="0.4">
      <c r="A4" s="84" t="s">
        <v>5</v>
      </c>
      <c r="B4" s="85">
        <f>HLOOKUP(SUBSTITUTE(CONCATENATE(SUBSTITUTE(SUBSTITUTE(A4,"歳","")," ",""),"_男")," ",""),[8]データ貼り付けシート!$1:$2,2,FALSE)</f>
        <v>401</v>
      </c>
      <c r="C4" s="85">
        <f>HLOOKUP(SUBSTITUTE(CONCATENATE(SUBSTITUTE(SUBSTITUTE(A4,"歳","")," ",""),"_女")," ",""),[8]データ貼り付けシート!$1:$2,2,FALSE)</f>
        <v>429</v>
      </c>
      <c r="D4" s="85">
        <f>HLOOKUP(SUBSTITUTE(CONCATENATE(SUBSTITUTE(SUBSTITUTE(A4,"歳","")," ",""),"_全体")," ",""),[8]データ貼り付けシート!$1:$2,2,FALSE)</f>
        <v>830</v>
      </c>
      <c r="E4" s="83"/>
    </row>
    <row r="5" spans="1:7" x14ac:dyDescent="0.4">
      <c r="A5" s="84" t="s">
        <v>6</v>
      </c>
      <c r="B5" s="85">
        <f>HLOOKUP(SUBSTITUTE(CONCATENATE(SUBSTITUTE(SUBSTITUTE(A5,"歳","")," ",""),"_男")," ",""),[8]データ貼り付けシート!$1:$2,2,FALSE)</f>
        <v>391</v>
      </c>
      <c r="C5" s="85">
        <f>HLOOKUP(SUBSTITUTE(CONCATENATE(SUBSTITUTE(SUBSTITUTE(A5,"歳","")," ",""),"_女")," ",""),[8]データ貼り付けシート!$1:$2,2,FALSE)</f>
        <v>329</v>
      </c>
      <c r="D5" s="85">
        <f>HLOOKUP(SUBSTITUTE(CONCATENATE(SUBSTITUTE(SUBSTITUTE(A5,"歳","")," ",""),"_全体")," ",""),[8]データ貼り付けシート!$1:$2,2,FALSE)</f>
        <v>720</v>
      </c>
      <c r="E5" s="83"/>
    </row>
    <row r="6" spans="1:7" x14ac:dyDescent="0.4">
      <c r="A6" s="84" t="s">
        <v>7</v>
      </c>
      <c r="B6" s="85">
        <f>HLOOKUP(SUBSTITUTE(CONCATENATE(SUBSTITUTE(SUBSTITUTE(A6,"歳","")," ",""),"_男")," ",""),[8]データ貼り付けシート!$1:$2,2,FALSE)</f>
        <v>429</v>
      </c>
      <c r="C6" s="85">
        <f>HLOOKUP(SUBSTITUTE(CONCATENATE(SUBSTITUTE(SUBSTITUTE(A6,"歳","")," ",""),"_女")," ",""),[8]データ貼り付けシート!$1:$2,2,FALSE)</f>
        <v>380</v>
      </c>
      <c r="D6" s="85">
        <f>HLOOKUP(SUBSTITUTE(CONCATENATE(SUBSTITUTE(SUBSTITUTE(A6,"歳","")," ",""),"_全体")," ",""),[8]データ貼り付けシート!$1:$2,2,FALSE)</f>
        <v>809</v>
      </c>
      <c r="E6" s="83"/>
    </row>
    <row r="7" spans="1:7" x14ac:dyDescent="0.4">
      <c r="A7" s="84" t="s">
        <v>8</v>
      </c>
      <c r="B7" s="85">
        <f>HLOOKUP(SUBSTITUTE(CONCATENATE(SUBSTITUTE(SUBSTITUTE(A7,"歳","")," ",""),"_男")," ",""),[8]データ貼り付けシート!$1:$2,2,FALSE)</f>
        <v>356</v>
      </c>
      <c r="C7" s="85">
        <f>HLOOKUP(SUBSTITUTE(CONCATENATE(SUBSTITUTE(SUBSTITUTE(A7,"歳","")," ",""),"_女")," ",""),[8]データ貼り付けシート!$1:$2,2,FALSE)</f>
        <v>367</v>
      </c>
      <c r="D7" s="85">
        <f>HLOOKUP(SUBSTITUTE(CONCATENATE(SUBSTITUTE(SUBSTITUTE(A7,"歳","")," ",""),"_全体")," ",""),[8]データ貼り付けシート!$1:$2,2,FALSE)</f>
        <v>723</v>
      </c>
      <c r="E7" s="83"/>
    </row>
    <row r="8" spans="1:7" x14ac:dyDescent="0.4">
      <c r="A8" s="84" t="s">
        <v>9</v>
      </c>
      <c r="B8" s="85">
        <f>HLOOKUP(SUBSTITUTE(CONCATENATE(SUBSTITUTE(SUBSTITUTE(A8,"歳","")," ",""),"_男")," ",""),[8]データ貼り付けシート!$1:$2,2,FALSE)</f>
        <v>381</v>
      </c>
      <c r="C8" s="85">
        <f>HLOOKUP(SUBSTITUTE(CONCATENATE(SUBSTITUTE(SUBSTITUTE(A8,"歳","")," ",""),"_女")," ",""),[8]データ貼り付けシート!$1:$2,2,FALSE)</f>
        <v>381</v>
      </c>
      <c r="D8" s="85">
        <f>HLOOKUP(SUBSTITUTE(CONCATENATE(SUBSTITUTE(SUBSTITUTE(A8,"歳","")," ",""),"_全体")," ",""),[8]データ貼り付けシート!$1:$2,2,FALSE)</f>
        <v>762</v>
      </c>
      <c r="E8" s="83"/>
    </row>
    <row r="9" spans="1:7" x14ac:dyDescent="0.4">
      <c r="A9" s="84" t="s">
        <v>10</v>
      </c>
      <c r="B9" s="85">
        <f>HLOOKUP(SUBSTITUTE(CONCATENATE(SUBSTITUTE(SUBSTITUTE(A9,"歳","")," ",""),"_男")," ",""),[8]データ貼り付けシート!$1:$2,2,FALSE)</f>
        <v>372</v>
      </c>
      <c r="C9" s="85">
        <f>HLOOKUP(SUBSTITUTE(CONCATENATE(SUBSTITUTE(SUBSTITUTE(A9,"歳","")," ",""),"_女")," ",""),[8]データ貼り付けシート!$1:$2,2,FALSE)</f>
        <v>300</v>
      </c>
      <c r="D9" s="85">
        <f>HLOOKUP(SUBSTITUTE(CONCATENATE(SUBSTITUTE(SUBSTITUTE(A9,"歳","")," ",""),"_全体")," ",""),[8]データ貼り付けシート!$1:$2,2,FALSE)</f>
        <v>672</v>
      </c>
      <c r="E9" s="83"/>
    </row>
    <row r="10" spans="1:7" x14ac:dyDescent="0.4">
      <c r="A10" s="84" t="s">
        <v>11</v>
      </c>
      <c r="B10" s="85">
        <f>HLOOKUP(SUBSTITUTE(CONCATENATE(SUBSTITUTE(SUBSTITUTE(A10,"歳","")," ",""),"_男")," ",""),[8]データ貼り付けシート!$1:$2,2,FALSE)</f>
        <v>345</v>
      </c>
      <c r="C10" s="85">
        <f>HLOOKUP(SUBSTITUTE(CONCATENATE(SUBSTITUTE(SUBSTITUTE(A10,"歳","")," ",""),"_女")," ",""),[8]データ貼り付けシート!$1:$2,2,FALSE)</f>
        <v>376</v>
      </c>
      <c r="D10" s="85">
        <f>HLOOKUP(SUBSTITUTE(CONCATENATE(SUBSTITUTE(SUBSTITUTE(A10,"歳","")," ",""),"_全体")," ",""),[8]データ貼り付けシート!$1:$2,2,FALSE)</f>
        <v>721</v>
      </c>
      <c r="E10" s="83"/>
    </row>
    <row r="11" spans="1:7" x14ac:dyDescent="0.4">
      <c r="A11" s="84" t="s">
        <v>12</v>
      </c>
      <c r="B11" s="85">
        <f>HLOOKUP(SUBSTITUTE(CONCATENATE(SUBSTITUTE(SUBSTITUTE(A11,"歳","")," ",""),"_男")," ",""),[8]データ貼り付けシート!$1:$2,2,FALSE)</f>
        <v>377</v>
      </c>
      <c r="C11" s="85">
        <f>HLOOKUP(SUBSTITUTE(CONCATENATE(SUBSTITUTE(SUBSTITUTE(A11,"歳","")," ",""),"_女")," ",""),[8]データ貼り付けシート!$1:$2,2,FALSE)</f>
        <v>351</v>
      </c>
      <c r="D11" s="85">
        <f>HLOOKUP(SUBSTITUTE(CONCATENATE(SUBSTITUTE(SUBSTITUTE(A11,"歳","")," ",""),"_全体")," ",""),[8]データ貼り付けシート!$1:$2,2,FALSE)</f>
        <v>728</v>
      </c>
      <c r="E11" s="83"/>
    </row>
    <row r="12" spans="1:7" x14ac:dyDescent="0.4">
      <c r="A12" s="84" t="s">
        <v>13</v>
      </c>
      <c r="B12" s="85">
        <f>HLOOKUP(SUBSTITUTE(CONCATENATE(SUBSTITUTE(SUBSTITUTE(A12,"歳","")," ",""),"_男")," ",""),[8]データ貼り付けシート!$1:$2,2,FALSE)</f>
        <v>383</v>
      </c>
      <c r="C12" s="85">
        <f>HLOOKUP(SUBSTITUTE(CONCATENATE(SUBSTITUTE(SUBSTITUTE(A12,"歳","")," ",""),"_女")," ",""),[8]データ貼り付けシート!$1:$2,2,FALSE)</f>
        <v>365</v>
      </c>
      <c r="D12" s="85">
        <f>HLOOKUP(SUBSTITUTE(CONCATENATE(SUBSTITUTE(SUBSTITUTE(A12,"歳","")," ",""),"_全体")," ",""),[8]データ貼り付けシート!$1:$2,2,FALSE)</f>
        <v>748</v>
      </c>
      <c r="E12" s="83"/>
    </row>
    <row r="13" spans="1:7" x14ac:dyDescent="0.4">
      <c r="A13" s="84" t="s">
        <v>14</v>
      </c>
      <c r="B13" s="85">
        <f>HLOOKUP(SUBSTITUTE(CONCATENATE(SUBSTITUTE(SUBSTITUTE(A13,"歳","")," ",""),"_男")," ",""),[8]データ貼り付けシート!$1:$2,2,FALSE)</f>
        <v>389</v>
      </c>
      <c r="C13" s="85">
        <f>HLOOKUP(SUBSTITUTE(CONCATENATE(SUBSTITUTE(SUBSTITUTE(A13,"歳","")," ",""),"_女")," ",""),[8]データ貼り付けシート!$1:$2,2,FALSE)</f>
        <v>349</v>
      </c>
      <c r="D13" s="85">
        <f>HLOOKUP(SUBSTITUTE(CONCATENATE(SUBSTITUTE(SUBSTITUTE(A13,"歳","")," ",""),"_全体")," ",""),[8]データ貼り付けシート!$1:$2,2,FALSE)</f>
        <v>738</v>
      </c>
      <c r="E13" s="83"/>
    </row>
    <row r="14" spans="1:7" x14ac:dyDescent="0.4">
      <c r="A14" s="84" t="s">
        <v>15</v>
      </c>
      <c r="B14" s="85">
        <f>HLOOKUP(SUBSTITUTE(CONCATENATE(SUBSTITUTE(SUBSTITUTE(A14,"歳","")," ",""),"_男")," ",""),[8]データ貼り付けシート!$1:$2,2,FALSE)</f>
        <v>327</v>
      </c>
      <c r="C14" s="85">
        <f>HLOOKUP(SUBSTITUTE(CONCATENATE(SUBSTITUTE(SUBSTITUTE(A14,"歳","")," ",""),"_女")," ",""),[8]データ貼り付けシート!$1:$2,2,FALSE)</f>
        <v>369</v>
      </c>
      <c r="D14" s="85">
        <f>HLOOKUP(SUBSTITUTE(CONCATENATE(SUBSTITUTE(SUBSTITUTE(A14,"歳","")," ",""),"_全体")," ",""),[8]データ貼り付けシート!$1:$2,2,FALSE)</f>
        <v>696</v>
      </c>
      <c r="E14" s="83"/>
    </row>
    <row r="15" spans="1:7" x14ac:dyDescent="0.4">
      <c r="A15" s="84" t="s">
        <v>16</v>
      </c>
      <c r="B15" s="85">
        <f>HLOOKUP(SUBSTITUTE(CONCATENATE(SUBSTITUTE(SUBSTITUTE(A15,"歳","")," ",""),"_男")," ",""),[8]データ貼り付けシート!$1:$2,2,FALSE)</f>
        <v>383</v>
      </c>
      <c r="C15" s="85">
        <f>HLOOKUP(SUBSTITUTE(CONCATENATE(SUBSTITUTE(SUBSTITUTE(A15,"歳","")," ",""),"_女")," ",""),[8]データ貼り付けシート!$1:$2,2,FALSE)</f>
        <v>365</v>
      </c>
      <c r="D15" s="85">
        <f>HLOOKUP(SUBSTITUTE(CONCATENATE(SUBSTITUTE(SUBSTITUTE(A15,"歳","")," ",""),"_全体")," ",""),[8]データ貼り付けシート!$1:$2,2,FALSE)</f>
        <v>748</v>
      </c>
      <c r="E15" s="83"/>
    </row>
    <row r="16" spans="1:7" x14ac:dyDescent="0.4">
      <c r="A16" s="84" t="s">
        <v>17</v>
      </c>
      <c r="B16" s="85">
        <f>HLOOKUP(SUBSTITUTE(CONCATENATE(SUBSTITUTE(SUBSTITUTE(A16,"歳","")," ",""),"_男")," ",""),[8]データ貼り付けシート!$1:$2,2,FALSE)</f>
        <v>389</v>
      </c>
      <c r="C16" s="85">
        <f>HLOOKUP(SUBSTITUTE(CONCATENATE(SUBSTITUTE(SUBSTITUTE(A16,"歳","")," ",""),"_女")," ",""),[8]データ貼り付けシート!$1:$2,2,FALSE)</f>
        <v>351</v>
      </c>
      <c r="D16" s="85">
        <f>HLOOKUP(SUBSTITUTE(CONCATENATE(SUBSTITUTE(SUBSTITUTE(A16,"歳","")," ",""),"_全体")," ",""),[8]データ貼り付けシート!$1:$2,2,FALSE)</f>
        <v>740</v>
      </c>
      <c r="E16" s="83"/>
    </row>
    <row r="17" spans="1:5" x14ac:dyDescent="0.4">
      <c r="A17" s="84" t="s">
        <v>18</v>
      </c>
      <c r="B17" s="85">
        <f>HLOOKUP(SUBSTITUTE(CONCATENATE(SUBSTITUTE(SUBSTITUTE(A17,"歳","")," ",""),"_男")," ",""),[8]データ貼り付けシート!$1:$2,2,FALSE)</f>
        <v>405</v>
      </c>
      <c r="C17" s="85">
        <f>HLOOKUP(SUBSTITUTE(CONCATENATE(SUBSTITUTE(SUBSTITUTE(A17,"歳","")," ",""),"_女")," ",""),[8]データ貼り付けシート!$1:$2,2,FALSE)</f>
        <v>370</v>
      </c>
      <c r="D17" s="85">
        <f>HLOOKUP(SUBSTITUTE(CONCATENATE(SUBSTITUTE(SUBSTITUTE(A17,"歳","")," ",""),"_全体")," ",""),[8]データ貼り付けシート!$1:$2,2,FALSE)</f>
        <v>775</v>
      </c>
      <c r="E17" s="83"/>
    </row>
    <row r="18" spans="1:5" x14ac:dyDescent="0.4">
      <c r="A18" s="84" t="s">
        <v>19</v>
      </c>
      <c r="B18" s="85">
        <f>HLOOKUP(SUBSTITUTE(CONCATENATE(SUBSTITUTE(SUBSTITUTE(A18,"歳","")," ",""),"_男")," ",""),[8]データ貼り付けシート!$1:$2,2,FALSE)</f>
        <v>392</v>
      </c>
      <c r="C18" s="85">
        <f>HLOOKUP(SUBSTITUTE(CONCATENATE(SUBSTITUTE(SUBSTITUTE(A18,"歳","")," ",""),"_女")," ",""),[8]データ貼り付けシート!$1:$2,2,FALSE)</f>
        <v>367</v>
      </c>
      <c r="D18" s="85">
        <f>HLOOKUP(SUBSTITUTE(CONCATENATE(SUBSTITUTE(SUBSTITUTE(A18,"歳","")," ",""),"_全体")," ",""),[8]データ貼り付けシート!$1:$2,2,FALSE)</f>
        <v>759</v>
      </c>
      <c r="E18" s="83"/>
    </row>
    <row r="19" spans="1:5" x14ac:dyDescent="0.4">
      <c r="A19" s="84" t="s">
        <v>20</v>
      </c>
      <c r="B19" s="85">
        <f>HLOOKUP(SUBSTITUTE(CONCATENATE(SUBSTITUTE(SUBSTITUTE(A19,"歳","")," ",""),"_男")," ",""),[8]データ貼り付けシート!$1:$2,2,FALSE)</f>
        <v>362</v>
      </c>
      <c r="C19" s="85">
        <f>HLOOKUP(SUBSTITUTE(CONCATENATE(SUBSTITUTE(SUBSTITUTE(A19,"歳","")," ",""),"_女")," ",""),[8]データ貼り付けシート!$1:$2,2,FALSE)</f>
        <v>360</v>
      </c>
      <c r="D19" s="85">
        <f>HLOOKUP(SUBSTITUTE(CONCATENATE(SUBSTITUTE(SUBSTITUTE(A19,"歳","")," ",""),"_全体")," ",""),[8]データ貼り付けシート!$1:$2,2,FALSE)</f>
        <v>722</v>
      </c>
      <c r="E19" s="83"/>
    </row>
    <row r="20" spans="1:5" x14ac:dyDescent="0.4">
      <c r="A20" s="84" t="s">
        <v>21</v>
      </c>
      <c r="B20" s="85">
        <f>HLOOKUP(SUBSTITUTE(CONCATENATE(SUBSTITUTE(SUBSTITUTE(A20,"歳","")," ",""),"_男")," ",""),[8]データ貼り付けシート!$1:$2,2,FALSE)</f>
        <v>427</v>
      </c>
      <c r="C20" s="85">
        <f>HLOOKUP(SUBSTITUTE(CONCATENATE(SUBSTITUTE(SUBSTITUTE(A20,"歳","")," ",""),"_女")," ",""),[8]データ貼り付けシート!$1:$2,2,FALSE)</f>
        <v>424</v>
      </c>
      <c r="D20" s="85">
        <f>HLOOKUP(SUBSTITUTE(CONCATENATE(SUBSTITUTE(SUBSTITUTE(A20,"歳","")," ",""),"_全体")," ",""),[8]データ貼り付けシート!$1:$2,2,FALSE)</f>
        <v>851</v>
      </c>
      <c r="E20" s="83"/>
    </row>
    <row r="21" spans="1:5" x14ac:dyDescent="0.4">
      <c r="A21" s="84" t="s">
        <v>22</v>
      </c>
      <c r="B21" s="85">
        <f>HLOOKUP(SUBSTITUTE(CONCATENATE(SUBSTITUTE(SUBSTITUTE(A21,"歳","")," ",""),"_男")," ",""),[8]データ貼り付けシート!$1:$2,2,FALSE)</f>
        <v>444</v>
      </c>
      <c r="C21" s="85">
        <f>HLOOKUP(SUBSTITUTE(CONCATENATE(SUBSTITUTE(SUBSTITUTE(A21,"歳","")," ",""),"_女")," ",""),[8]データ貼り付けシート!$1:$2,2,FALSE)</f>
        <v>370</v>
      </c>
      <c r="D21" s="85">
        <f>HLOOKUP(SUBSTITUTE(CONCATENATE(SUBSTITUTE(SUBSTITUTE(A21,"歳","")," ",""),"_全体")," ",""),[8]データ貼り付けシート!$1:$2,2,FALSE)</f>
        <v>814</v>
      </c>
      <c r="E21" s="83"/>
    </row>
    <row r="22" spans="1:5" x14ac:dyDescent="0.4">
      <c r="A22" s="84" t="s">
        <v>23</v>
      </c>
      <c r="B22" s="85">
        <f>HLOOKUP(SUBSTITUTE(CONCATENATE(SUBSTITUTE(SUBSTITUTE(A22,"歳","")," ",""),"_男")," ",""),[8]データ貼り付けシート!$1:$2,2,FALSE)</f>
        <v>465</v>
      </c>
      <c r="C22" s="85">
        <f>HLOOKUP(SUBSTITUTE(CONCATENATE(SUBSTITUTE(SUBSTITUTE(A22,"歳","")," ",""),"_女")," ",""),[8]データ貼り付けシート!$1:$2,2,FALSE)</f>
        <v>448</v>
      </c>
      <c r="D22" s="85">
        <f>HLOOKUP(SUBSTITUTE(CONCATENATE(SUBSTITUTE(SUBSTITUTE(A22,"歳","")," ",""),"_全体")," ",""),[8]データ貼り付けシート!$1:$2,2,FALSE)</f>
        <v>913</v>
      </c>
      <c r="E22" s="83"/>
    </row>
    <row r="23" spans="1:5" x14ac:dyDescent="0.4">
      <c r="A23" s="84" t="s">
        <v>24</v>
      </c>
      <c r="B23" s="85">
        <f>HLOOKUP(SUBSTITUTE(CONCATENATE(SUBSTITUTE(SUBSTITUTE(A23,"歳","")," ",""),"_男")," ",""),[8]データ貼り付けシート!$1:$2,2,FALSE)</f>
        <v>479</v>
      </c>
      <c r="C23" s="85">
        <f>HLOOKUP(SUBSTITUTE(CONCATENATE(SUBSTITUTE(SUBSTITUTE(A23,"歳","")," ",""),"_女")," ",""),[8]データ貼り付けシート!$1:$2,2,FALSE)</f>
        <v>426</v>
      </c>
      <c r="D23" s="85">
        <f>HLOOKUP(SUBSTITUTE(CONCATENATE(SUBSTITUTE(SUBSTITUTE(A23,"歳","")," ",""),"_全体")," ",""),[8]データ貼り付けシート!$1:$2,2,FALSE)</f>
        <v>905</v>
      </c>
      <c r="E23" s="83"/>
    </row>
    <row r="24" spans="1:5" x14ac:dyDescent="0.4">
      <c r="A24" s="84" t="s">
        <v>25</v>
      </c>
      <c r="B24" s="85">
        <f>HLOOKUP(SUBSTITUTE(CONCATENATE(SUBSTITUTE(SUBSTITUTE(A24,"歳","")," ",""),"_男")," ",""),[8]データ貼り付けシート!$1:$2,2,FALSE)</f>
        <v>467</v>
      </c>
      <c r="C24" s="85">
        <f>HLOOKUP(SUBSTITUTE(CONCATENATE(SUBSTITUTE(SUBSTITUTE(A24,"歳","")," ",""),"_女")," ",""),[8]データ貼り付けシート!$1:$2,2,FALSE)</f>
        <v>405</v>
      </c>
      <c r="D24" s="85">
        <f>HLOOKUP(SUBSTITUTE(CONCATENATE(SUBSTITUTE(SUBSTITUTE(A24,"歳","")," ",""),"_全体")," ",""),[8]データ貼り付けシート!$1:$2,2,FALSE)</f>
        <v>872</v>
      </c>
      <c r="E24" s="83"/>
    </row>
    <row r="25" spans="1:5" x14ac:dyDescent="0.4">
      <c r="A25" s="84" t="s">
        <v>26</v>
      </c>
      <c r="B25" s="85">
        <f>HLOOKUP(SUBSTITUTE(CONCATENATE(SUBSTITUTE(SUBSTITUTE(A25,"歳","")," ",""),"_男")," ",""),[8]データ貼り付けシート!$1:$2,2,FALSE)</f>
        <v>485</v>
      </c>
      <c r="C25" s="85">
        <f>HLOOKUP(SUBSTITUTE(CONCATENATE(SUBSTITUTE(SUBSTITUTE(A25,"歳","")," ",""),"_女")," ",""),[8]データ貼り付けシート!$1:$2,2,FALSE)</f>
        <v>489</v>
      </c>
      <c r="D25" s="85">
        <f>HLOOKUP(SUBSTITUTE(CONCATENATE(SUBSTITUTE(SUBSTITUTE(A25,"歳","")," ",""),"_全体")," ",""),[8]データ貼り付けシート!$1:$2,2,FALSE)</f>
        <v>974</v>
      </c>
      <c r="E25" s="83"/>
    </row>
    <row r="26" spans="1:5" x14ac:dyDescent="0.4">
      <c r="A26" s="84" t="s">
        <v>27</v>
      </c>
      <c r="B26" s="85">
        <f>HLOOKUP(SUBSTITUTE(CONCATENATE(SUBSTITUTE(SUBSTITUTE(A26,"歳","")," ",""),"_男")," ",""),[8]データ貼り付けシート!$1:$2,2,FALSE)</f>
        <v>507</v>
      </c>
      <c r="C26" s="85">
        <f>HLOOKUP(SUBSTITUTE(CONCATENATE(SUBSTITUTE(SUBSTITUTE(A26,"歳","")," ",""),"_女")," ",""),[8]データ貼り付けシート!$1:$2,2,FALSE)</f>
        <v>472</v>
      </c>
      <c r="D26" s="85">
        <f>HLOOKUP(SUBSTITUTE(CONCATENATE(SUBSTITUTE(SUBSTITUTE(A26,"歳","")," ",""),"_全体")," ",""),[8]データ貼り付けシート!$1:$2,2,FALSE)</f>
        <v>979</v>
      </c>
      <c r="E26" s="83"/>
    </row>
    <row r="27" spans="1:5" x14ac:dyDescent="0.4">
      <c r="A27" s="84" t="s">
        <v>28</v>
      </c>
      <c r="B27" s="85">
        <f>HLOOKUP(SUBSTITUTE(CONCATENATE(SUBSTITUTE(SUBSTITUTE(A27,"歳","")," ",""),"_男")," ",""),[8]データ貼り付けシート!$1:$2,2,FALSE)</f>
        <v>483</v>
      </c>
      <c r="C27" s="85">
        <f>HLOOKUP(SUBSTITUTE(CONCATENATE(SUBSTITUTE(SUBSTITUTE(A27,"歳","")," ",""),"_女")," ",""),[8]データ貼り付けシート!$1:$2,2,FALSE)</f>
        <v>429</v>
      </c>
      <c r="D27" s="85">
        <f>HLOOKUP(SUBSTITUTE(CONCATENATE(SUBSTITUTE(SUBSTITUTE(A27,"歳","")," ",""),"_全体")," ",""),[8]データ貼り付けシート!$1:$2,2,FALSE)</f>
        <v>912</v>
      </c>
      <c r="E27" s="83"/>
    </row>
    <row r="28" spans="1:5" x14ac:dyDescent="0.4">
      <c r="A28" s="84" t="s">
        <v>29</v>
      </c>
      <c r="B28" s="85">
        <f>HLOOKUP(SUBSTITUTE(CONCATENATE(SUBSTITUTE(SUBSTITUTE(A28,"歳","")," ",""),"_男")," ",""),[8]データ貼り付けシート!$1:$2,2,FALSE)</f>
        <v>530</v>
      </c>
      <c r="C28" s="85">
        <f>HLOOKUP(SUBSTITUTE(CONCATENATE(SUBSTITUTE(SUBSTITUTE(A28,"歳","")," ",""),"_女")," ",""),[8]データ貼り付けシート!$1:$2,2,FALSE)</f>
        <v>426</v>
      </c>
      <c r="D28" s="85">
        <f>HLOOKUP(SUBSTITUTE(CONCATENATE(SUBSTITUTE(SUBSTITUTE(A28,"歳","")," ",""),"_全体")," ",""),[8]データ貼り付けシート!$1:$2,2,FALSE)</f>
        <v>956</v>
      </c>
      <c r="E28" s="83"/>
    </row>
    <row r="29" spans="1:5" x14ac:dyDescent="0.4">
      <c r="A29" s="84" t="s">
        <v>30</v>
      </c>
      <c r="B29" s="85">
        <f>HLOOKUP(SUBSTITUTE(CONCATENATE(SUBSTITUTE(SUBSTITUTE(A29,"歳","")," ",""),"_男")," ",""),[8]データ貼り付けシート!$1:$2,2,FALSE)</f>
        <v>527</v>
      </c>
      <c r="C29" s="85">
        <f>HLOOKUP(SUBSTITUTE(CONCATENATE(SUBSTITUTE(SUBSTITUTE(A29,"歳","")," ",""),"_女")," ",""),[8]データ貼り付けシート!$1:$2,2,FALSE)</f>
        <v>476</v>
      </c>
      <c r="D29" s="85">
        <f>HLOOKUP(SUBSTITUTE(CONCATENATE(SUBSTITUTE(SUBSTITUTE(A29,"歳","")," ",""),"_全体")," ",""),[8]データ貼り付けシート!$1:$2,2,FALSE)</f>
        <v>1003</v>
      </c>
      <c r="E29" s="83"/>
    </row>
    <row r="30" spans="1:5" x14ac:dyDescent="0.4">
      <c r="A30" s="84" t="s">
        <v>31</v>
      </c>
      <c r="B30" s="85">
        <f>HLOOKUP(SUBSTITUTE(CONCATENATE(SUBSTITUTE(SUBSTITUTE(A30,"歳","")," ",""),"_男")," ",""),[8]データ貼り付けシート!$1:$2,2,FALSE)</f>
        <v>491</v>
      </c>
      <c r="C30" s="85">
        <f>HLOOKUP(SUBSTITUTE(CONCATENATE(SUBSTITUTE(SUBSTITUTE(A30,"歳","")," ",""),"_女")," ",""),[8]データ貼り付けシート!$1:$2,2,FALSE)</f>
        <v>483</v>
      </c>
      <c r="D30" s="85">
        <f>HLOOKUP(SUBSTITUTE(CONCATENATE(SUBSTITUTE(SUBSTITUTE(A30,"歳","")," ",""),"_全体")," ",""),[8]データ貼り付けシート!$1:$2,2,FALSE)</f>
        <v>974</v>
      </c>
      <c r="E30" s="83"/>
    </row>
    <row r="31" spans="1:5" x14ac:dyDescent="0.4">
      <c r="A31" s="84" t="s">
        <v>32</v>
      </c>
      <c r="B31" s="85">
        <f>HLOOKUP(SUBSTITUTE(CONCATENATE(SUBSTITUTE(SUBSTITUTE(A31,"歳","")," ",""),"_男")," ",""),[8]データ貼り付けシート!$1:$2,2,FALSE)</f>
        <v>535</v>
      </c>
      <c r="C31" s="85">
        <f>HLOOKUP(SUBSTITUTE(CONCATENATE(SUBSTITUTE(SUBSTITUTE(A31,"歳","")," ",""),"_女")," ",""),[8]データ貼り付けシート!$1:$2,2,FALSE)</f>
        <v>514</v>
      </c>
      <c r="D31" s="85">
        <f>HLOOKUP(SUBSTITUTE(CONCATENATE(SUBSTITUTE(SUBSTITUTE(A31,"歳","")," ",""),"_全体")," ",""),[8]データ貼り付けシート!$1:$2,2,FALSE)</f>
        <v>1049</v>
      </c>
      <c r="E31" s="83"/>
    </row>
    <row r="32" spans="1:5" x14ac:dyDescent="0.4">
      <c r="A32" s="84" t="s">
        <v>33</v>
      </c>
      <c r="B32" s="85">
        <f>HLOOKUP(SUBSTITUTE(CONCATENATE(SUBSTITUTE(SUBSTITUTE(A32,"歳","")," ",""),"_男")," ",""),[8]データ貼り付けシート!$1:$2,2,FALSE)</f>
        <v>535</v>
      </c>
      <c r="C32" s="85">
        <f>HLOOKUP(SUBSTITUTE(CONCATENATE(SUBSTITUTE(SUBSTITUTE(A32,"歳","")," ",""),"_女")," ",""),[8]データ貼り付けシート!$1:$2,2,FALSE)</f>
        <v>541</v>
      </c>
      <c r="D32" s="85">
        <f>HLOOKUP(SUBSTITUTE(CONCATENATE(SUBSTITUTE(SUBSTITUTE(A32,"歳","")," ",""),"_全体")," ",""),[8]データ貼り付けシート!$1:$2,2,FALSE)</f>
        <v>1076</v>
      </c>
      <c r="E32" s="83"/>
    </row>
    <row r="33" spans="1:5" x14ac:dyDescent="0.4">
      <c r="A33" s="84" t="s">
        <v>34</v>
      </c>
      <c r="B33" s="85">
        <f>HLOOKUP(SUBSTITUTE(CONCATENATE(SUBSTITUTE(SUBSTITUTE(A33,"歳","")," ",""),"_男")," ",""),[8]データ貼り付けシート!$1:$2,2,FALSE)</f>
        <v>537</v>
      </c>
      <c r="C33" s="85">
        <f>HLOOKUP(SUBSTITUTE(CONCATENATE(SUBSTITUTE(SUBSTITUTE(A33,"歳","")," ",""),"_女")," ",""),[8]データ貼り付けシート!$1:$2,2,FALSE)</f>
        <v>519</v>
      </c>
      <c r="D33" s="85">
        <f>HLOOKUP(SUBSTITUTE(CONCATENATE(SUBSTITUTE(SUBSTITUTE(A33,"歳","")," ",""),"_全体")," ",""),[8]データ貼り付けシート!$1:$2,2,FALSE)</f>
        <v>1056</v>
      </c>
      <c r="E33" s="83"/>
    </row>
    <row r="34" spans="1:5" x14ac:dyDescent="0.4">
      <c r="A34" s="84" t="s">
        <v>35</v>
      </c>
      <c r="B34" s="85">
        <f>HLOOKUP(SUBSTITUTE(CONCATENATE(SUBSTITUTE(SUBSTITUTE(A34,"歳","")," ",""),"_男")," ",""),[8]データ貼り付けシート!$1:$2,2,FALSE)</f>
        <v>588</v>
      </c>
      <c r="C34" s="85">
        <f>HLOOKUP(SUBSTITUTE(CONCATENATE(SUBSTITUTE(SUBSTITUTE(A34,"歳","")," ",""),"_女")," ",""),[8]データ貼り付けシート!$1:$2,2,FALSE)</f>
        <v>529</v>
      </c>
      <c r="D34" s="85">
        <f>HLOOKUP(SUBSTITUTE(CONCATENATE(SUBSTITUTE(SUBSTITUTE(A34,"歳","")," ",""),"_全体")," ",""),[8]データ貼り付けシート!$1:$2,2,FALSE)</f>
        <v>1117</v>
      </c>
      <c r="E34" s="83"/>
    </row>
    <row r="35" spans="1:5" x14ac:dyDescent="0.4">
      <c r="A35" s="84" t="s">
        <v>36</v>
      </c>
      <c r="B35" s="85">
        <f>HLOOKUP(SUBSTITUTE(CONCATENATE(SUBSTITUTE(SUBSTITUTE(A35,"歳","")," ",""),"_男")," ",""),[8]データ貼り付けシート!$1:$2,2,FALSE)</f>
        <v>539</v>
      </c>
      <c r="C35" s="85">
        <f>HLOOKUP(SUBSTITUTE(CONCATENATE(SUBSTITUTE(SUBSTITUTE(A35,"歳","")," ",""),"_女")," ",""),[8]データ貼り付けシート!$1:$2,2,FALSE)</f>
        <v>550</v>
      </c>
      <c r="D35" s="85">
        <f>HLOOKUP(SUBSTITUTE(CONCATENATE(SUBSTITUTE(SUBSTITUTE(A35,"歳","")," ",""),"_全体")," ",""),[8]データ貼り付けシート!$1:$2,2,FALSE)</f>
        <v>1089</v>
      </c>
      <c r="E35" s="83"/>
    </row>
    <row r="36" spans="1:5" x14ac:dyDescent="0.4">
      <c r="A36" s="84" t="s">
        <v>37</v>
      </c>
      <c r="B36" s="85">
        <f>HLOOKUP(SUBSTITUTE(CONCATENATE(SUBSTITUTE(SUBSTITUTE(A36,"歳","")," ",""),"_男")," ",""),[8]データ貼り付けシート!$1:$2,2,FALSE)</f>
        <v>540</v>
      </c>
      <c r="C36" s="85">
        <f>HLOOKUP(SUBSTITUTE(CONCATENATE(SUBSTITUTE(SUBSTITUTE(A36,"歳","")," ",""),"_女")," ",""),[8]データ貼り付けシート!$1:$2,2,FALSE)</f>
        <v>525</v>
      </c>
      <c r="D36" s="85">
        <f>HLOOKUP(SUBSTITUTE(CONCATENATE(SUBSTITUTE(SUBSTITUTE(A36,"歳","")," ",""),"_全体")," ",""),[8]データ貼り付けシート!$1:$2,2,FALSE)</f>
        <v>1065</v>
      </c>
      <c r="E36" s="83"/>
    </row>
    <row r="37" spans="1:5" x14ac:dyDescent="0.4">
      <c r="A37" s="84" t="s">
        <v>38</v>
      </c>
      <c r="B37" s="85">
        <f>HLOOKUP(SUBSTITUTE(CONCATENATE(SUBSTITUTE(SUBSTITUTE(A37,"歳","")," ",""),"_男")," ",""),[8]データ貼り付けシート!$1:$2,2,FALSE)</f>
        <v>554</v>
      </c>
      <c r="C37" s="85">
        <f>HLOOKUP(SUBSTITUTE(CONCATENATE(SUBSTITUTE(SUBSTITUTE(A37,"歳","")," ",""),"_女")," ",""),[8]データ貼り付けシート!$1:$2,2,FALSE)</f>
        <v>505</v>
      </c>
      <c r="D37" s="85">
        <f>HLOOKUP(SUBSTITUTE(CONCATENATE(SUBSTITUTE(SUBSTITUTE(A37,"歳","")," ",""),"_全体")," ",""),[8]データ貼り付けシート!$1:$2,2,FALSE)</f>
        <v>1059</v>
      </c>
      <c r="E37" s="83"/>
    </row>
    <row r="38" spans="1:5" x14ac:dyDescent="0.4">
      <c r="A38" s="84" t="s">
        <v>39</v>
      </c>
      <c r="B38" s="85">
        <f>HLOOKUP(SUBSTITUTE(CONCATENATE(SUBSTITUTE(SUBSTITUTE(A38,"歳","")," ",""),"_男")," ",""),[8]データ貼り付けシート!$1:$2,2,FALSE)</f>
        <v>575</v>
      </c>
      <c r="C38" s="85">
        <f>HLOOKUP(SUBSTITUTE(CONCATENATE(SUBSTITUTE(SUBSTITUTE(A38,"歳","")," ",""),"_女")," ",""),[8]データ貼り付けシート!$1:$2,2,FALSE)</f>
        <v>524</v>
      </c>
      <c r="D38" s="85">
        <f>HLOOKUP(SUBSTITUTE(CONCATENATE(SUBSTITUTE(SUBSTITUTE(A38,"歳","")," ",""),"_全体")," ",""),[8]データ貼り付けシート!$1:$2,2,FALSE)</f>
        <v>1099</v>
      </c>
      <c r="E38" s="83"/>
    </row>
    <row r="39" spans="1:5" x14ac:dyDescent="0.4">
      <c r="A39" s="84" t="s">
        <v>40</v>
      </c>
      <c r="B39" s="85">
        <f>HLOOKUP(SUBSTITUTE(CONCATENATE(SUBSTITUTE(SUBSTITUTE(A39,"歳","")," ",""),"_男")," ",""),[8]データ貼り付けシート!$1:$2,2,FALSE)</f>
        <v>595</v>
      </c>
      <c r="C39" s="85">
        <f>HLOOKUP(SUBSTITUTE(CONCATENATE(SUBSTITUTE(SUBSTITUTE(A39,"歳","")," ",""),"_女")," ",""),[8]データ貼り付けシート!$1:$2,2,FALSE)</f>
        <v>566</v>
      </c>
      <c r="D39" s="85">
        <f>HLOOKUP(SUBSTITUTE(CONCATENATE(SUBSTITUTE(SUBSTITUTE(A39,"歳","")," ",""),"_全体")," ",""),[8]データ貼り付けシート!$1:$2,2,FALSE)</f>
        <v>1161</v>
      </c>
      <c r="E39" s="83"/>
    </row>
    <row r="40" spans="1:5" x14ac:dyDescent="0.4">
      <c r="A40" s="84" t="s">
        <v>41</v>
      </c>
      <c r="B40" s="85">
        <f>HLOOKUP(SUBSTITUTE(CONCATENATE(SUBSTITUTE(SUBSTITUTE(A40,"歳","")," ",""),"_男")," ",""),[8]データ貼り付けシート!$1:$2,2,FALSE)</f>
        <v>562</v>
      </c>
      <c r="C40" s="85">
        <f>HLOOKUP(SUBSTITUTE(CONCATENATE(SUBSTITUTE(SUBSTITUTE(A40,"歳","")," ",""),"_女")," ",""),[8]データ貼り付けシート!$1:$2,2,FALSE)</f>
        <v>569</v>
      </c>
      <c r="D40" s="85">
        <f>HLOOKUP(SUBSTITUTE(CONCATENATE(SUBSTITUTE(SUBSTITUTE(A40,"歳","")," ",""),"_全体")," ",""),[8]データ貼り付けシート!$1:$2,2,FALSE)</f>
        <v>1131</v>
      </c>
      <c r="E40" s="83"/>
    </row>
    <row r="41" spans="1:5" x14ac:dyDescent="0.4">
      <c r="A41" s="84" t="s">
        <v>42</v>
      </c>
      <c r="B41" s="85">
        <f>HLOOKUP(SUBSTITUTE(CONCATENATE(SUBSTITUTE(SUBSTITUTE(A41,"歳","")," ",""),"_男")," ",""),[8]データ貼り付けシート!$1:$2,2,FALSE)</f>
        <v>590</v>
      </c>
      <c r="C41" s="85">
        <f>HLOOKUP(SUBSTITUTE(CONCATENATE(SUBSTITUTE(SUBSTITUTE(A41,"歳","")," ",""),"_女")," ",""),[8]データ貼り付けシート!$1:$2,2,FALSE)</f>
        <v>518</v>
      </c>
      <c r="D41" s="85">
        <f>HLOOKUP(SUBSTITUTE(CONCATENATE(SUBSTITUTE(SUBSTITUTE(A41,"歳","")," ",""),"_全体")," ",""),[8]データ貼り付けシート!$1:$2,2,FALSE)</f>
        <v>1108</v>
      </c>
      <c r="E41" s="83"/>
    </row>
    <row r="42" spans="1:5" x14ac:dyDescent="0.4">
      <c r="A42" s="84" t="s">
        <v>43</v>
      </c>
      <c r="B42" s="85">
        <f>HLOOKUP(SUBSTITUTE(CONCATENATE(SUBSTITUTE(SUBSTITUTE(A42,"歳","")," ",""),"_男")," ",""),[8]データ貼り付けシート!$1:$2,2,FALSE)</f>
        <v>556</v>
      </c>
      <c r="C42" s="85">
        <f>HLOOKUP(SUBSTITUTE(CONCATENATE(SUBSTITUTE(SUBSTITUTE(A42,"歳","")," ",""),"_女")," ",""),[8]データ貼り付けシート!$1:$2,2,FALSE)</f>
        <v>556</v>
      </c>
      <c r="D42" s="85">
        <f>HLOOKUP(SUBSTITUTE(CONCATENATE(SUBSTITUTE(SUBSTITUTE(A42,"歳","")," ",""),"_全体")," ",""),[8]データ貼り付けシート!$1:$2,2,FALSE)</f>
        <v>1112</v>
      </c>
      <c r="E42" s="83"/>
    </row>
    <row r="43" spans="1:5" x14ac:dyDescent="0.4">
      <c r="A43" s="84" t="s">
        <v>44</v>
      </c>
      <c r="B43" s="85">
        <f>HLOOKUP(SUBSTITUTE(CONCATENATE(SUBSTITUTE(SUBSTITUTE(A43,"歳","")," ",""),"_男")," ",""),[8]データ貼り付けシート!$1:$2,2,FALSE)</f>
        <v>568</v>
      </c>
      <c r="C43" s="85">
        <f>HLOOKUP(SUBSTITUTE(CONCATENATE(SUBSTITUTE(SUBSTITUTE(A43,"歳","")," ",""),"_女")," ",""),[8]データ貼り付けシート!$1:$2,2,FALSE)</f>
        <v>550</v>
      </c>
      <c r="D43" s="85">
        <f>HLOOKUP(SUBSTITUTE(CONCATENATE(SUBSTITUTE(SUBSTITUTE(A43,"歳","")," ",""),"_全体")," ",""),[8]データ貼り付けシート!$1:$2,2,FALSE)</f>
        <v>1118</v>
      </c>
      <c r="E43" s="83"/>
    </row>
    <row r="44" spans="1:5" x14ac:dyDescent="0.4">
      <c r="A44" s="84" t="s">
        <v>45</v>
      </c>
      <c r="B44" s="85">
        <f>HLOOKUP(SUBSTITUTE(CONCATENATE(SUBSTITUTE(SUBSTITUTE(A44,"歳","")," ",""),"_男")," ",""),[8]データ貼り付けシート!$1:$2,2,FALSE)</f>
        <v>637</v>
      </c>
      <c r="C44" s="85">
        <f>HLOOKUP(SUBSTITUTE(CONCATENATE(SUBSTITUTE(SUBSTITUTE(A44,"歳","")," ",""),"_女")," ",""),[8]データ貼り付けシート!$1:$2,2,FALSE)</f>
        <v>588</v>
      </c>
      <c r="D44" s="85">
        <f>HLOOKUP(SUBSTITUTE(CONCATENATE(SUBSTITUTE(SUBSTITUTE(A44,"歳","")," ",""),"_全体")," ",""),[8]データ貼り付けシート!$1:$2,2,FALSE)</f>
        <v>1225</v>
      </c>
      <c r="E44" s="83"/>
    </row>
    <row r="45" spans="1:5" x14ac:dyDescent="0.4">
      <c r="A45" s="84" t="s">
        <v>46</v>
      </c>
      <c r="B45" s="85">
        <f>HLOOKUP(SUBSTITUTE(CONCATENATE(SUBSTITUTE(SUBSTITUTE(A45,"歳","")," ",""),"_男")," ",""),[8]データ貼り付けシート!$1:$2,2,FALSE)</f>
        <v>614</v>
      </c>
      <c r="C45" s="85">
        <f>HLOOKUP(SUBSTITUTE(CONCATENATE(SUBSTITUTE(SUBSTITUTE(A45,"歳","")," ",""),"_女")," ",""),[8]データ貼り付けシート!$1:$2,2,FALSE)</f>
        <v>579</v>
      </c>
      <c r="D45" s="85">
        <f>HLOOKUP(SUBSTITUTE(CONCATENATE(SUBSTITUTE(SUBSTITUTE(A45,"歳","")," ",""),"_全体")," ",""),[8]データ貼り付けシート!$1:$2,2,FALSE)</f>
        <v>1193</v>
      </c>
      <c r="E45" s="83"/>
    </row>
    <row r="46" spans="1:5" x14ac:dyDescent="0.4">
      <c r="A46" s="84" t="s">
        <v>47</v>
      </c>
      <c r="B46" s="85">
        <f>HLOOKUP(SUBSTITUTE(CONCATENATE(SUBSTITUTE(SUBSTITUTE(A46,"歳","")," ",""),"_男")," ",""),[8]データ貼り付けシート!$1:$2,2,FALSE)</f>
        <v>722</v>
      </c>
      <c r="C46" s="85">
        <f>HLOOKUP(SUBSTITUTE(CONCATENATE(SUBSTITUTE(SUBSTITUTE(A46,"歳","")," ",""),"_女")," ",""),[8]データ貼り付けシート!$1:$2,2,FALSE)</f>
        <v>660</v>
      </c>
      <c r="D46" s="85">
        <f>HLOOKUP(SUBSTITUTE(CONCATENATE(SUBSTITUTE(SUBSTITUTE(A46,"歳","")," ",""),"_全体")," ",""),[8]データ貼り付けシート!$1:$2,2,FALSE)</f>
        <v>1382</v>
      </c>
      <c r="E46" s="83"/>
    </row>
    <row r="47" spans="1:5" x14ac:dyDescent="0.4">
      <c r="A47" s="84" t="s">
        <v>48</v>
      </c>
      <c r="B47" s="85">
        <f>HLOOKUP(SUBSTITUTE(CONCATENATE(SUBSTITUTE(SUBSTITUTE(A47,"歳","")," ",""),"_男")," ",""),[8]データ貼り付けシート!$1:$2,2,FALSE)</f>
        <v>707</v>
      </c>
      <c r="C47" s="85">
        <f>HLOOKUP(SUBSTITUTE(CONCATENATE(SUBSTITUTE(SUBSTITUTE(A47,"歳","")," ",""),"_女")," ",""),[8]データ貼り付けシート!$1:$2,2,FALSE)</f>
        <v>665</v>
      </c>
      <c r="D47" s="85">
        <f>HLOOKUP(SUBSTITUTE(CONCATENATE(SUBSTITUTE(SUBSTITUTE(A47,"歳","")," ",""),"_全体")," ",""),[8]データ貼り付けシート!$1:$2,2,FALSE)</f>
        <v>1372</v>
      </c>
      <c r="E47" s="83"/>
    </row>
    <row r="48" spans="1:5" x14ac:dyDescent="0.4">
      <c r="A48" s="84" t="s">
        <v>49</v>
      </c>
      <c r="B48" s="85">
        <f>HLOOKUP(SUBSTITUTE(CONCATENATE(SUBSTITUTE(SUBSTITUTE(A48,"歳","")," ",""),"_男")," ",""),[8]データ貼り付けシート!$1:$2,2,FALSE)</f>
        <v>841</v>
      </c>
      <c r="C48" s="85">
        <f>HLOOKUP(SUBSTITUTE(CONCATENATE(SUBSTITUTE(SUBSTITUTE(A48,"歳","")," ",""),"_女")," ",""),[8]データ貼り付けシート!$1:$2,2,FALSE)</f>
        <v>744</v>
      </c>
      <c r="D48" s="85">
        <f>HLOOKUP(SUBSTITUTE(CONCATENATE(SUBSTITUTE(SUBSTITUTE(A48,"歳","")," ",""),"_全体")," ",""),[8]データ貼り付けシート!$1:$2,2,FALSE)</f>
        <v>1585</v>
      </c>
      <c r="E48" s="83"/>
    </row>
    <row r="49" spans="1:5" x14ac:dyDescent="0.4">
      <c r="A49" s="84" t="s">
        <v>50</v>
      </c>
      <c r="B49" s="85">
        <f>HLOOKUP(SUBSTITUTE(CONCATENATE(SUBSTITUTE(SUBSTITUTE(A49,"歳","")," ",""),"_男")," ",""),[8]データ貼り付けシート!$1:$2,2,FALSE)</f>
        <v>878</v>
      </c>
      <c r="C49" s="85">
        <f>HLOOKUP(SUBSTITUTE(CONCATENATE(SUBSTITUTE(SUBSTITUTE(A49,"歳","")," ",""),"_女")," ",""),[8]データ貼り付けシート!$1:$2,2,FALSE)</f>
        <v>762</v>
      </c>
      <c r="D49" s="85">
        <f>HLOOKUP(SUBSTITUTE(CONCATENATE(SUBSTITUTE(SUBSTITUTE(A49,"歳","")," ",""),"_全体")," ",""),[8]データ貼り付けシート!$1:$2,2,FALSE)</f>
        <v>1640</v>
      </c>
      <c r="E49" s="83"/>
    </row>
    <row r="50" spans="1:5" x14ac:dyDescent="0.4">
      <c r="A50" s="84" t="s">
        <v>51</v>
      </c>
      <c r="B50" s="85">
        <f>HLOOKUP(SUBSTITUTE(CONCATENATE(SUBSTITUTE(SUBSTITUTE(A50,"歳","")," ",""),"_男")," ",""),[8]データ貼り付けシート!$1:$2,2,FALSE)</f>
        <v>804</v>
      </c>
      <c r="C50" s="85">
        <f>HLOOKUP(SUBSTITUTE(CONCATENATE(SUBSTITUTE(SUBSTITUTE(A50,"歳","")," ",""),"_女")," ",""),[8]データ貼り付けシート!$1:$2,2,FALSE)</f>
        <v>753</v>
      </c>
      <c r="D50" s="85">
        <f>HLOOKUP(SUBSTITUTE(CONCATENATE(SUBSTITUTE(SUBSTITUTE(A50,"歳","")," ",""),"_全体")," ",""),[8]データ貼り付けシート!$1:$2,2,FALSE)</f>
        <v>1557</v>
      </c>
      <c r="E50" s="83"/>
    </row>
    <row r="51" spans="1:5" x14ac:dyDescent="0.4">
      <c r="A51" s="84" t="s">
        <v>52</v>
      </c>
      <c r="B51" s="85">
        <f>HLOOKUP(SUBSTITUTE(CONCATENATE(SUBSTITUTE(SUBSTITUTE(A51,"歳","")," ",""),"_男")," ",""),[8]データ貼り付けシート!$1:$2,2,FALSE)</f>
        <v>780</v>
      </c>
      <c r="C51" s="85">
        <f>HLOOKUP(SUBSTITUTE(CONCATENATE(SUBSTITUTE(SUBSTITUTE(A51,"歳","")," ",""),"_女")," ",""),[8]データ貼り付けシート!$1:$2,2,FALSE)</f>
        <v>720</v>
      </c>
      <c r="D51" s="85">
        <f>HLOOKUP(SUBSTITUTE(CONCATENATE(SUBSTITUTE(SUBSTITUTE(A51,"歳","")," ",""),"_全体")," ",""),[8]データ貼り付けシート!$1:$2,2,FALSE)</f>
        <v>1500</v>
      </c>
      <c r="E51" s="83"/>
    </row>
    <row r="52" spans="1:5" x14ac:dyDescent="0.4">
      <c r="A52" s="84" t="s">
        <v>53</v>
      </c>
      <c r="B52" s="85">
        <f>HLOOKUP(SUBSTITUTE(CONCATENATE(SUBSTITUTE(SUBSTITUTE(A52,"歳","")," ",""),"_男")," ",""),[8]データ貼り付けシート!$1:$2,2,FALSE)</f>
        <v>745</v>
      </c>
      <c r="C52" s="85">
        <f>HLOOKUP(SUBSTITUTE(CONCATENATE(SUBSTITUTE(SUBSTITUTE(A52,"歳","")," ",""),"_女")," ",""),[8]データ貼り付けシート!$1:$2,2,FALSE)</f>
        <v>669</v>
      </c>
      <c r="D52" s="85">
        <f>HLOOKUP(SUBSTITUTE(CONCATENATE(SUBSTITUTE(SUBSTITUTE(A52,"歳","")," ",""),"_全体")," ",""),[8]データ貼り付けシート!$1:$2,2,FALSE)</f>
        <v>1414</v>
      </c>
      <c r="E52" s="83"/>
    </row>
    <row r="53" spans="1:5" x14ac:dyDescent="0.4">
      <c r="A53" s="84" t="s">
        <v>54</v>
      </c>
      <c r="B53" s="85">
        <f>HLOOKUP(SUBSTITUTE(CONCATENATE(SUBSTITUTE(SUBSTITUTE(A53,"歳","")," ",""),"_男")," ",""),[8]データ貼り付けシート!$1:$2,2,FALSE)</f>
        <v>701</v>
      </c>
      <c r="C53" s="85">
        <f>HLOOKUP(SUBSTITUTE(CONCATENATE(SUBSTITUTE(SUBSTITUTE(A53,"歳","")," ",""),"_女")," ",""),[8]データ貼り付けシート!$1:$2,2,FALSE)</f>
        <v>612</v>
      </c>
      <c r="D53" s="85">
        <f>HLOOKUP(SUBSTITUTE(CONCATENATE(SUBSTITUTE(SUBSTITUTE(A53,"歳","")," ",""),"_全体")," ",""),[8]データ貼り付けシート!$1:$2,2,FALSE)</f>
        <v>1313</v>
      </c>
      <c r="E53" s="83"/>
    </row>
    <row r="54" spans="1:5" x14ac:dyDescent="0.4">
      <c r="A54" s="84" t="s">
        <v>55</v>
      </c>
      <c r="B54" s="85">
        <f>HLOOKUP(SUBSTITUTE(CONCATENATE(SUBSTITUTE(SUBSTITUTE(A54,"歳","")," ",""),"_男")," ",""),[8]データ貼り付けシート!$1:$2,2,FALSE)</f>
        <v>668</v>
      </c>
      <c r="C54" s="85">
        <f>HLOOKUP(SUBSTITUTE(CONCATENATE(SUBSTITUTE(SUBSTITUTE(A54,"歳","")," ",""),"_女")," ",""),[8]データ貼り付けシート!$1:$2,2,FALSE)</f>
        <v>611</v>
      </c>
      <c r="D54" s="85">
        <f>HLOOKUP(SUBSTITUTE(CONCATENATE(SUBSTITUTE(SUBSTITUTE(A54,"歳","")," ",""),"_全体")," ",""),[8]データ貼り付けシート!$1:$2,2,FALSE)</f>
        <v>1279</v>
      </c>
      <c r="E54" s="83"/>
    </row>
    <row r="55" spans="1:5" x14ac:dyDescent="0.4">
      <c r="A55" s="84" t="s">
        <v>56</v>
      </c>
      <c r="B55" s="85">
        <f>HLOOKUP(SUBSTITUTE(CONCATENATE(SUBSTITUTE(SUBSTITUTE(A55,"歳","")," ",""),"_男")," ",""),[8]データ貼り付けシート!$1:$2,2,FALSE)</f>
        <v>672</v>
      </c>
      <c r="C55" s="85">
        <f>HLOOKUP(SUBSTITUTE(CONCATENATE(SUBSTITUTE(SUBSTITUTE(A55,"歳","")," ",""),"_女")," ",""),[8]データ貼り付けシート!$1:$2,2,FALSE)</f>
        <v>561</v>
      </c>
      <c r="D55" s="85">
        <f>HLOOKUP(SUBSTITUTE(CONCATENATE(SUBSTITUTE(SUBSTITUTE(A55,"歳","")," ",""),"_全体")," ",""),[8]データ貼り付けシート!$1:$2,2,FALSE)</f>
        <v>1233</v>
      </c>
      <c r="E55" s="83"/>
    </row>
    <row r="56" spans="1:5" x14ac:dyDescent="0.4">
      <c r="A56" s="84" t="s">
        <v>57</v>
      </c>
      <c r="B56" s="85">
        <f>HLOOKUP(SUBSTITUTE(CONCATENATE(SUBSTITUTE(SUBSTITUTE(A56,"歳","")," ",""),"_男")," ",""),[8]データ貼り付けシート!$1:$2,2,FALSE)</f>
        <v>530</v>
      </c>
      <c r="C56" s="85">
        <f>HLOOKUP(SUBSTITUTE(CONCATENATE(SUBSTITUTE(SUBSTITUTE(A56,"歳","")," ",""),"_女")," ",""),[8]データ貼り付けシート!$1:$2,2,FALSE)</f>
        <v>408</v>
      </c>
      <c r="D56" s="85">
        <f>HLOOKUP(SUBSTITUTE(CONCATENATE(SUBSTITUTE(SUBSTITUTE(A56,"歳","")," ",""),"_全体")," ",""),[8]データ貼り付けシート!$1:$2,2,FALSE)</f>
        <v>938</v>
      </c>
      <c r="E56" s="83"/>
    </row>
    <row r="57" spans="1:5" x14ac:dyDescent="0.4">
      <c r="A57" s="84" t="s">
        <v>58</v>
      </c>
      <c r="B57" s="85">
        <f>HLOOKUP(SUBSTITUTE(CONCATENATE(SUBSTITUTE(SUBSTITUTE(A57,"歳","")," ",""),"_男")," ",""),[8]データ貼り付けシート!$1:$2,2,FALSE)</f>
        <v>528</v>
      </c>
      <c r="C57" s="85">
        <f>HLOOKUP(SUBSTITUTE(CONCATENATE(SUBSTITUTE(SUBSTITUTE(A57,"歳","")," ",""),"_女")," ",""),[8]データ貼り付けシート!$1:$2,2,FALSE)</f>
        <v>538</v>
      </c>
      <c r="D57" s="85">
        <f>HLOOKUP(SUBSTITUTE(CONCATENATE(SUBSTITUTE(SUBSTITUTE(A57,"歳","")," ",""),"_全体")," ",""),[8]データ貼り付けシート!$1:$2,2,FALSE)</f>
        <v>1066</v>
      </c>
      <c r="E57" s="83"/>
    </row>
    <row r="58" spans="1:5" x14ac:dyDescent="0.4">
      <c r="A58" s="84" t="s">
        <v>59</v>
      </c>
      <c r="B58" s="85">
        <f>HLOOKUP(SUBSTITUTE(CONCATENATE(SUBSTITUTE(SUBSTITUTE(A58,"歳","")," ",""),"_男")," ",""),[8]データ貼り付けシート!$1:$2,2,FALSE)</f>
        <v>499</v>
      </c>
      <c r="C58" s="85">
        <f>HLOOKUP(SUBSTITUTE(CONCATENATE(SUBSTITUTE(SUBSTITUTE(A58,"歳","")," ",""),"_女")," ",""),[8]データ貼り付けシート!$1:$2,2,FALSE)</f>
        <v>481</v>
      </c>
      <c r="D58" s="85">
        <f>HLOOKUP(SUBSTITUTE(CONCATENATE(SUBSTITUTE(SUBSTITUTE(A58,"歳","")," ",""),"_全体")," ",""),[8]データ貼り付けシート!$1:$2,2,FALSE)</f>
        <v>980</v>
      </c>
      <c r="E58" s="83"/>
    </row>
    <row r="59" spans="1:5" x14ac:dyDescent="0.4">
      <c r="A59" s="84" t="s">
        <v>60</v>
      </c>
      <c r="B59" s="85">
        <f>HLOOKUP(SUBSTITUTE(CONCATENATE(SUBSTITUTE(SUBSTITUTE(A59,"歳","")," ",""),"_男")," ",""),[8]データ貼り付けシート!$1:$2,2,FALSE)</f>
        <v>495</v>
      </c>
      <c r="C59" s="85">
        <f>HLOOKUP(SUBSTITUTE(CONCATENATE(SUBSTITUTE(SUBSTITUTE(A59,"歳","")," ",""),"_女")," ",""),[8]データ貼り付けシート!$1:$2,2,FALSE)</f>
        <v>442</v>
      </c>
      <c r="D59" s="85">
        <f>HLOOKUP(SUBSTITUTE(CONCATENATE(SUBSTITUTE(SUBSTITUTE(A59,"歳","")," ",""),"_全体")," ",""),[8]データ貼り付けシート!$1:$2,2,FALSE)</f>
        <v>937</v>
      </c>
      <c r="E59" s="83"/>
    </row>
    <row r="60" spans="1:5" x14ac:dyDescent="0.4">
      <c r="A60" s="84" t="s">
        <v>61</v>
      </c>
      <c r="B60" s="85">
        <f>HLOOKUP(SUBSTITUTE(CONCATENATE(SUBSTITUTE(SUBSTITUTE(A60,"歳","")," ",""),"_男")," ",""),[8]データ貼り付けシート!$1:$2,2,FALSE)</f>
        <v>472</v>
      </c>
      <c r="C60" s="85">
        <f>HLOOKUP(SUBSTITUTE(CONCATENATE(SUBSTITUTE(SUBSTITUTE(A60,"歳","")," ",""),"_女")," ",""),[8]データ貼り付けシート!$1:$2,2,FALSE)</f>
        <v>434</v>
      </c>
      <c r="D60" s="85">
        <f>HLOOKUP(SUBSTITUTE(CONCATENATE(SUBSTITUTE(SUBSTITUTE(A60,"歳","")," ",""),"_全体")," ",""),[8]データ貼り付けシート!$1:$2,2,FALSE)</f>
        <v>906</v>
      </c>
      <c r="E60" s="83"/>
    </row>
    <row r="61" spans="1:5" x14ac:dyDescent="0.4">
      <c r="A61" s="84" t="s">
        <v>62</v>
      </c>
      <c r="B61" s="85">
        <f>HLOOKUP(SUBSTITUTE(CONCATENATE(SUBSTITUTE(SUBSTITUTE(A61,"歳","")," ",""),"_男")," ",""),[8]データ貼り付けシート!$1:$2,2,FALSE)</f>
        <v>436</v>
      </c>
      <c r="C61" s="85">
        <f>HLOOKUP(SUBSTITUTE(CONCATENATE(SUBSTITUTE(SUBSTITUTE(A61,"歳","")," ",""),"_女")," ",""),[8]データ貼り付けシート!$1:$2,2,FALSE)</f>
        <v>418</v>
      </c>
      <c r="D61" s="85">
        <f>HLOOKUP(SUBSTITUTE(CONCATENATE(SUBSTITUTE(SUBSTITUTE(A61,"歳","")," ",""),"_全体")," ",""),[8]データ貼り付けシート!$1:$2,2,FALSE)</f>
        <v>854</v>
      </c>
      <c r="E61" s="83"/>
    </row>
    <row r="62" spans="1:5" x14ac:dyDescent="0.4">
      <c r="A62" s="84" t="s">
        <v>63</v>
      </c>
      <c r="B62" s="85">
        <f>HLOOKUP(SUBSTITUTE(CONCATENATE(SUBSTITUTE(SUBSTITUTE(A62,"歳","")," ",""),"_男")," ",""),[8]データ貼り付けシート!$1:$2,2,FALSE)</f>
        <v>401</v>
      </c>
      <c r="C62" s="85">
        <f>HLOOKUP(SUBSTITUTE(CONCATENATE(SUBSTITUTE(SUBSTITUTE(A62,"歳","")," ",""),"_女")," ",""),[8]データ貼り付けシート!$1:$2,2,FALSE)</f>
        <v>392</v>
      </c>
      <c r="D62" s="85">
        <f>HLOOKUP(SUBSTITUTE(CONCATENATE(SUBSTITUTE(SUBSTITUTE(A62,"歳","")," ",""),"_全体")," ",""),[8]データ貼り付けシート!$1:$2,2,FALSE)</f>
        <v>793</v>
      </c>
      <c r="E62" s="83"/>
    </row>
    <row r="63" spans="1:5" x14ac:dyDescent="0.4">
      <c r="A63" s="84" t="s">
        <v>64</v>
      </c>
      <c r="B63" s="85">
        <f>HLOOKUP(SUBSTITUTE(CONCATENATE(SUBSTITUTE(SUBSTITUTE(A63,"歳","")," ",""),"_男")," ",""),[8]データ貼り付けシート!$1:$2,2,FALSE)</f>
        <v>451</v>
      </c>
      <c r="C63" s="85">
        <f>HLOOKUP(SUBSTITUTE(CONCATENATE(SUBSTITUTE(SUBSTITUTE(A63,"歳","")," ",""),"_女")," ",""),[8]データ貼り付けシート!$1:$2,2,FALSE)</f>
        <v>404</v>
      </c>
      <c r="D63" s="85">
        <f>HLOOKUP(SUBSTITUTE(CONCATENATE(SUBSTITUTE(SUBSTITUTE(A63,"歳","")," ",""),"_全体")," ",""),[8]データ貼り付けシート!$1:$2,2,FALSE)</f>
        <v>855</v>
      </c>
      <c r="E63" s="83"/>
    </row>
    <row r="64" spans="1:5" x14ac:dyDescent="0.4">
      <c r="A64" s="84" t="s">
        <v>65</v>
      </c>
      <c r="B64" s="85">
        <f>HLOOKUP(SUBSTITUTE(CONCATENATE(SUBSTITUTE(SUBSTITUTE(A64,"歳","")," ",""),"_男")," ",""),[8]データ貼り付けシート!$1:$2,2,FALSE)</f>
        <v>407</v>
      </c>
      <c r="C64" s="85">
        <f>HLOOKUP(SUBSTITUTE(CONCATENATE(SUBSTITUTE(SUBSTITUTE(A64,"歳","")," ",""),"_女")," ",""),[8]データ貼り付けシート!$1:$2,2,FALSE)</f>
        <v>403</v>
      </c>
      <c r="D64" s="85">
        <f>HLOOKUP(SUBSTITUTE(CONCATENATE(SUBSTITUTE(SUBSTITUTE(A64,"歳","")," ",""),"_全体")," ",""),[8]データ貼り付けシート!$1:$2,2,FALSE)</f>
        <v>810</v>
      </c>
      <c r="E64" s="83"/>
    </row>
    <row r="65" spans="1:5" x14ac:dyDescent="0.4">
      <c r="A65" s="84" t="s">
        <v>66</v>
      </c>
      <c r="B65" s="85">
        <f>HLOOKUP(SUBSTITUTE(CONCATENATE(SUBSTITUTE(SUBSTITUTE(A65,"歳","")," ",""),"_男")," ",""),[8]データ貼り付けシート!$1:$2,2,FALSE)</f>
        <v>406</v>
      </c>
      <c r="C65" s="85">
        <f>HLOOKUP(SUBSTITUTE(CONCATENATE(SUBSTITUTE(SUBSTITUTE(A65,"歳","")," ",""),"_女")," ",""),[8]データ貼り付けシート!$1:$2,2,FALSE)</f>
        <v>398</v>
      </c>
      <c r="D65" s="85">
        <f>HLOOKUP(SUBSTITUTE(CONCATENATE(SUBSTITUTE(SUBSTITUTE(A65,"歳","")," ",""),"_全体")," ",""),[8]データ貼り付けシート!$1:$2,2,FALSE)</f>
        <v>804</v>
      </c>
      <c r="E65" s="83"/>
    </row>
    <row r="66" spans="1:5" x14ac:dyDescent="0.4">
      <c r="A66" s="84" t="s">
        <v>67</v>
      </c>
      <c r="B66" s="85">
        <f>HLOOKUP(SUBSTITUTE(CONCATENATE(SUBSTITUTE(SUBSTITUTE(A66,"歳","")," ",""),"_男")," ",""),[8]データ貼り付けシート!$1:$2,2,FALSE)</f>
        <v>406</v>
      </c>
      <c r="C66" s="85">
        <f>HLOOKUP(SUBSTITUTE(CONCATENATE(SUBSTITUTE(SUBSTITUTE(A66,"歳","")," ",""),"_女")," ",""),[8]データ貼り付けシート!$1:$2,2,FALSE)</f>
        <v>429</v>
      </c>
      <c r="D66" s="85">
        <f>HLOOKUP(SUBSTITUTE(CONCATENATE(SUBSTITUTE(SUBSTITUTE(A66,"歳","")," ",""),"_全体")," ",""),[8]データ貼り付けシート!$1:$2,2,FALSE)</f>
        <v>835</v>
      </c>
      <c r="E66" s="83"/>
    </row>
    <row r="67" spans="1:5" x14ac:dyDescent="0.4">
      <c r="A67" s="84" t="s">
        <v>68</v>
      </c>
      <c r="B67" s="85">
        <f>HLOOKUP(SUBSTITUTE(CONCATENATE(SUBSTITUTE(SUBSTITUTE(A67,"歳","")," ",""),"_男")," ",""),[8]データ貼り付けシート!$1:$2,2,FALSE)</f>
        <v>441</v>
      </c>
      <c r="C67" s="85">
        <f>HLOOKUP(SUBSTITUTE(CONCATENATE(SUBSTITUTE(SUBSTITUTE(A67,"歳","")," ",""),"_女")," ",""),[8]データ貼り付けシート!$1:$2,2,FALSE)</f>
        <v>440</v>
      </c>
      <c r="D67" s="85">
        <f>HLOOKUP(SUBSTITUTE(CONCATENATE(SUBSTITUTE(SUBSTITUTE(A67,"歳","")," ",""),"_全体")," ",""),[8]データ貼り付けシート!$1:$2,2,FALSE)</f>
        <v>881</v>
      </c>
      <c r="E67" s="83"/>
    </row>
    <row r="68" spans="1:5" x14ac:dyDescent="0.4">
      <c r="A68" s="84" t="s">
        <v>69</v>
      </c>
      <c r="B68" s="85">
        <f>HLOOKUP(SUBSTITUTE(CONCATENATE(SUBSTITUTE(SUBSTITUTE(A68,"歳","")," ",""),"_男")," ",""),[8]データ貼り付けシート!$1:$2,2,FALSE)</f>
        <v>391</v>
      </c>
      <c r="C68" s="85">
        <f>HLOOKUP(SUBSTITUTE(CONCATENATE(SUBSTITUTE(SUBSTITUTE(A68,"歳","")," ",""),"_女")," ",""),[8]データ貼り付けシート!$1:$2,2,FALSE)</f>
        <v>457</v>
      </c>
      <c r="D68" s="85">
        <f>HLOOKUP(SUBSTITUTE(CONCATENATE(SUBSTITUTE(SUBSTITUTE(A68,"歳","")," ",""),"_全体")," ",""),[8]データ貼り付けシート!$1:$2,2,FALSE)</f>
        <v>848</v>
      </c>
      <c r="E68" s="83"/>
    </row>
    <row r="69" spans="1:5" x14ac:dyDescent="0.4">
      <c r="A69" s="84" t="s">
        <v>70</v>
      </c>
      <c r="B69" s="85">
        <f>HLOOKUP(SUBSTITUTE(CONCATENATE(SUBSTITUTE(SUBSTITUTE(A69,"歳","")," ",""),"_男")," ",""),[8]データ貼り付けシート!$1:$2,2,FALSE)</f>
        <v>445</v>
      </c>
      <c r="C69" s="85">
        <f>HLOOKUP(SUBSTITUTE(CONCATENATE(SUBSTITUTE(SUBSTITUTE(A69,"歳","")," ",""),"_女")," ",""),[8]データ貼り付けシート!$1:$2,2,FALSE)</f>
        <v>503</v>
      </c>
      <c r="D69" s="85">
        <f>HLOOKUP(SUBSTITUTE(CONCATENATE(SUBSTITUTE(SUBSTITUTE(A69,"歳","")," ",""),"_全体")," ",""),[8]データ貼り付けシート!$1:$2,2,FALSE)</f>
        <v>948</v>
      </c>
      <c r="E69" s="83"/>
    </row>
    <row r="70" spans="1:5" x14ac:dyDescent="0.4">
      <c r="A70" s="84" t="s">
        <v>71</v>
      </c>
      <c r="B70" s="85">
        <f>HLOOKUP(SUBSTITUTE(CONCATENATE(SUBSTITUTE(SUBSTITUTE(A70,"歳","")," ",""),"_男")," ",""),[8]データ貼り付けシート!$1:$2,2,FALSE)</f>
        <v>498</v>
      </c>
      <c r="C70" s="85">
        <f>HLOOKUP(SUBSTITUTE(CONCATENATE(SUBSTITUTE(SUBSTITUTE(A70,"歳","")," ",""),"_女")," ",""),[8]データ貼り付けシート!$1:$2,2,FALSE)</f>
        <v>537</v>
      </c>
      <c r="D70" s="85">
        <f>HLOOKUP(SUBSTITUTE(CONCATENATE(SUBSTITUTE(SUBSTITUTE(A70,"歳","")," ",""),"_全体")," ",""),[8]データ貼り付けシート!$1:$2,2,FALSE)</f>
        <v>1035</v>
      </c>
      <c r="E70" s="83"/>
    </row>
    <row r="71" spans="1:5" x14ac:dyDescent="0.4">
      <c r="A71" s="84" t="s">
        <v>72</v>
      </c>
      <c r="B71" s="85">
        <f>HLOOKUP(SUBSTITUTE(CONCATENATE(SUBSTITUTE(SUBSTITUTE(A71,"歳","")," ",""),"_男")," ",""),[8]データ貼り付けシート!$1:$2,2,FALSE)</f>
        <v>537</v>
      </c>
      <c r="C71" s="85">
        <f>HLOOKUP(SUBSTITUTE(CONCATENATE(SUBSTITUTE(SUBSTITUTE(A71,"歳","")," ",""),"_女")," ",""),[8]データ貼り付けシート!$1:$2,2,FALSE)</f>
        <v>590</v>
      </c>
      <c r="D71" s="85">
        <f>HLOOKUP(SUBSTITUTE(CONCATENATE(SUBSTITUTE(SUBSTITUTE(A71,"歳","")," ",""),"_全体")," ",""),[8]データ貼り付けシート!$1:$2,2,FALSE)</f>
        <v>1127</v>
      </c>
      <c r="E71" s="83"/>
    </row>
    <row r="72" spans="1:5" x14ac:dyDescent="0.4">
      <c r="A72" s="84" t="s">
        <v>73</v>
      </c>
      <c r="B72" s="85">
        <f>HLOOKUP(SUBSTITUTE(CONCATENATE(SUBSTITUTE(SUBSTITUTE(A72,"歳","")," ",""),"_男")," ",""),[8]データ貼り付けシート!$1:$2,2,FALSE)</f>
        <v>605</v>
      </c>
      <c r="C72" s="85">
        <f>HLOOKUP(SUBSTITUTE(CONCATENATE(SUBSTITUTE(SUBSTITUTE(A72,"歳","")," ",""),"_女")," ",""),[8]データ貼り付けシート!$1:$2,2,FALSE)</f>
        <v>682</v>
      </c>
      <c r="D72" s="85">
        <f>HLOOKUP(SUBSTITUTE(CONCATENATE(SUBSTITUTE(SUBSTITUTE(A72,"歳","")," ",""),"_全体")," ",""),[8]データ貼り付けシート!$1:$2,2,FALSE)</f>
        <v>1287</v>
      </c>
      <c r="E72" s="83"/>
    </row>
    <row r="73" spans="1:5" x14ac:dyDescent="0.4">
      <c r="A73" s="84" t="s">
        <v>74</v>
      </c>
      <c r="B73" s="85">
        <f>HLOOKUP(SUBSTITUTE(CONCATENATE(SUBSTITUTE(SUBSTITUTE(A73,"歳","")," ",""),"_男")," ",""),[8]データ貼り付けシート!$1:$2,2,FALSE)</f>
        <v>644</v>
      </c>
      <c r="C73" s="85">
        <f>HLOOKUP(SUBSTITUTE(CONCATENATE(SUBSTITUTE(SUBSTITUTE(A73,"歳","")," ",""),"_女")," ",""),[8]データ貼り付けシート!$1:$2,2,FALSE)</f>
        <v>778</v>
      </c>
      <c r="D73" s="85">
        <f>HLOOKUP(SUBSTITUTE(CONCATENATE(SUBSTITUTE(SUBSTITUTE(A73,"歳","")," ",""),"_全体")," ",""),[8]データ貼り付けシート!$1:$2,2,FALSE)</f>
        <v>1422</v>
      </c>
      <c r="E73" s="83"/>
    </row>
    <row r="74" spans="1:5" x14ac:dyDescent="0.4">
      <c r="A74" s="84" t="s">
        <v>75</v>
      </c>
      <c r="B74" s="85">
        <f>HLOOKUP(SUBSTITUTE(CONCATENATE(SUBSTITUTE(SUBSTITUTE(A74,"歳","")," ",""),"_男")," ",""),[8]データ貼り付けシート!$1:$2,2,FALSE)</f>
        <v>671</v>
      </c>
      <c r="C74" s="85">
        <f>HLOOKUP(SUBSTITUTE(CONCATENATE(SUBSTITUTE(SUBSTITUTE(A74,"歳","")," ",""),"_女")," ",""),[8]データ貼り付けシート!$1:$2,2,FALSE)</f>
        <v>758</v>
      </c>
      <c r="D74" s="85">
        <f>HLOOKUP(SUBSTITUTE(CONCATENATE(SUBSTITUTE(SUBSTITUTE(A74,"歳","")," ",""),"_全体")," ",""),[8]データ貼り付けシート!$1:$2,2,FALSE)</f>
        <v>1429</v>
      </c>
      <c r="E74" s="83"/>
    </row>
    <row r="75" spans="1:5" x14ac:dyDescent="0.4">
      <c r="A75" s="84" t="s">
        <v>76</v>
      </c>
      <c r="B75" s="85">
        <f>HLOOKUP(SUBSTITUTE(CONCATENATE(SUBSTITUTE(SUBSTITUTE(A75,"歳","")," ",""),"_男")," ",""),[8]データ貼り付けシート!$1:$2,2,FALSE)</f>
        <v>657</v>
      </c>
      <c r="C75" s="85">
        <f>HLOOKUP(SUBSTITUTE(CONCATENATE(SUBSTITUTE(SUBSTITUTE(A75,"歳","")," ",""),"_女")," ",""),[8]データ貼り付けシート!$1:$2,2,FALSE)</f>
        <v>725</v>
      </c>
      <c r="D75" s="85">
        <f>HLOOKUP(SUBSTITUTE(CONCATENATE(SUBSTITUTE(SUBSTITUTE(A75,"歳","")," ",""),"_全体")," ",""),[8]データ貼り付けシート!$1:$2,2,FALSE)</f>
        <v>1382</v>
      </c>
      <c r="E75" s="83"/>
    </row>
    <row r="76" spans="1:5" x14ac:dyDescent="0.4">
      <c r="A76" s="84" t="s">
        <v>77</v>
      </c>
      <c r="B76" s="85">
        <f>HLOOKUP(SUBSTITUTE(CONCATENATE(SUBSTITUTE(SUBSTITUTE(A76,"歳","")," ",""),"_男")," ",""),[8]データ貼り付けシート!$1:$2,2,FALSE)</f>
        <v>338</v>
      </c>
      <c r="C76" s="85">
        <f>HLOOKUP(SUBSTITUTE(CONCATENATE(SUBSTITUTE(SUBSTITUTE(A76,"歳","")," ",""),"_女")," ",""),[8]データ貼り付けシート!$1:$2,2,FALSE)</f>
        <v>437</v>
      </c>
      <c r="D76" s="85">
        <f>HLOOKUP(SUBSTITUTE(CONCATENATE(SUBSTITUTE(SUBSTITUTE(A76,"歳","")," ",""),"_全体")," ",""),[8]データ貼り付けシート!$1:$2,2,FALSE)</f>
        <v>775</v>
      </c>
      <c r="E76" s="83"/>
    </row>
    <row r="77" spans="1:5" x14ac:dyDescent="0.4">
      <c r="A77" s="84" t="s">
        <v>78</v>
      </c>
      <c r="B77" s="85">
        <f>HLOOKUP(SUBSTITUTE(CONCATENATE(SUBSTITUTE(SUBSTITUTE(A77,"歳","")," ",""),"_男")," ",""),[8]データ貼り付けシート!$1:$2,2,FALSE)</f>
        <v>421</v>
      </c>
      <c r="C77" s="85">
        <f>HLOOKUP(SUBSTITUTE(CONCATENATE(SUBSTITUTE(SUBSTITUTE(A77,"歳","")," ",""),"_女")," ",""),[8]データ貼り付けシート!$1:$2,2,FALSE)</f>
        <v>519</v>
      </c>
      <c r="D77" s="85">
        <f>HLOOKUP(SUBSTITUTE(CONCATENATE(SUBSTITUTE(SUBSTITUTE(A77,"歳","")," ",""),"_全体")," ",""),[8]データ貼り付けシート!$1:$2,2,FALSE)</f>
        <v>940</v>
      </c>
      <c r="E77" s="83"/>
    </row>
    <row r="78" spans="1:5" x14ac:dyDescent="0.4">
      <c r="A78" s="84" t="s">
        <v>79</v>
      </c>
      <c r="B78" s="85">
        <f>HLOOKUP(SUBSTITUTE(CONCATENATE(SUBSTITUTE(SUBSTITUTE(A78,"歳","")," ",""),"_男")," ",""),[8]データ貼り付けシート!$1:$2,2,FALSE)</f>
        <v>530</v>
      </c>
      <c r="C78" s="85">
        <f>HLOOKUP(SUBSTITUTE(CONCATENATE(SUBSTITUTE(SUBSTITUTE(A78,"歳","")," ",""),"_女")," ",""),[8]データ貼り付けシート!$1:$2,2,FALSE)</f>
        <v>593</v>
      </c>
      <c r="D78" s="85">
        <f>HLOOKUP(SUBSTITUTE(CONCATENATE(SUBSTITUTE(SUBSTITUTE(A78,"歳","")," ",""),"_全体")," ",""),[8]データ貼り付けシート!$1:$2,2,FALSE)</f>
        <v>1123</v>
      </c>
      <c r="E78" s="83"/>
    </row>
    <row r="79" spans="1:5" x14ac:dyDescent="0.4">
      <c r="A79" s="84" t="s">
        <v>80</v>
      </c>
      <c r="B79" s="85">
        <f>HLOOKUP(SUBSTITUTE(CONCATENATE(SUBSTITUTE(SUBSTITUTE(A79,"歳","")," ",""),"_男")," ",""),[8]データ貼り付けシート!$1:$2,2,FALSE)</f>
        <v>481</v>
      </c>
      <c r="C79" s="85">
        <f>HLOOKUP(SUBSTITUTE(CONCATENATE(SUBSTITUTE(SUBSTITUTE(A79,"歳","")," ",""),"_女")," ",""),[8]データ貼り付けシート!$1:$2,2,FALSE)</f>
        <v>648</v>
      </c>
      <c r="D79" s="85">
        <f>HLOOKUP(SUBSTITUTE(CONCATENATE(SUBSTITUTE(SUBSTITUTE(A79,"歳","")," ",""),"_全体")," ",""),[8]データ貼り付けシート!$1:$2,2,FALSE)</f>
        <v>1129</v>
      </c>
      <c r="E79" s="83"/>
    </row>
    <row r="80" spans="1:5" x14ac:dyDescent="0.4">
      <c r="A80" s="84" t="s">
        <v>81</v>
      </c>
      <c r="B80" s="85">
        <f>HLOOKUP(SUBSTITUTE(CONCATENATE(SUBSTITUTE(SUBSTITUTE(A80,"歳","")," ",""),"_男")," ",""),[8]データ貼り付けシート!$1:$2,2,FALSE)</f>
        <v>513</v>
      </c>
      <c r="C80" s="85">
        <f>HLOOKUP(SUBSTITUTE(CONCATENATE(SUBSTITUTE(SUBSTITUTE(A80,"歳","")," ",""),"_女")," ",""),[8]データ貼り付けシート!$1:$2,2,FALSE)</f>
        <v>646</v>
      </c>
      <c r="D80" s="85">
        <f>HLOOKUP(SUBSTITUTE(CONCATENATE(SUBSTITUTE(SUBSTITUTE(A80,"歳","")," ",""),"_全体")," ",""),[8]データ貼り付けシート!$1:$2,2,FALSE)</f>
        <v>1159</v>
      </c>
      <c r="E80" s="83"/>
    </row>
    <row r="81" spans="1:5" x14ac:dyDescent="0.4">
      <c r="A81" s="84" t="s">
        <v>82</v>
      </c>
      <c r="B81" s="85">
        <f>HLOOKUP(SUBSTITUTE(CONCATENATE(SUBSTITUTE(SUBSTITUTE(A81,"歳","")," ",""),"_男")," ",""),[8]データ貼り付けシート!$1:$2,2,FALSE)</f>
        <v>478</v>
      </c>
      <c r="C81" s="85">
        <f>HLOOKUP(SUBSTITUTE(CONCATENATE(SUBSTITUTE(SUBSTITUTE(A81,"歳","")," ",""),"_女")," ",""),[8]データ貼り付けシート!$1:$2,2,FALSE)</f>
        <v>564</v>
      </c>
      <c r="D81" s="85">
        <f>HLOOKUP(SUBSTITUTE(CONCATENATE(SUBSTITUTE(SUBSTITUTE(A81,"歳","")," ",""),"_全体")," ",""),[8]データ貼り付けシート!$1:$2,2,FALSE)</f>
        <v>1042</v>
      </c>
      <c r="E81" s="83"/>
    </row>
    <row r="82" spans="1:5" x14ac:dyDescent="0.4">
      <c r="A82" s="84" t="s">
        <v>83</v>
      </c>
      <c r="B82" s="85">
        <f>HLOOKUP(SUBSTITUTE(CONCATENATE(SUBSTITUTE(SUBSTITUTE(A82,"歳","")," ",""),"_男")," ",""),[8]データ貼り付けシート!$1:$2,2,FALSE)</f>
        <v>387</v>
      </c>
      <c r="C82" s="85">
        <f>HLOOKUP(SUBSTITUTE(CONCATENATE(SUBSTITUTE(SUBSTITUTE(A82,"歳","")," ",""),"_女")," ",""),[8]データ貼り付けシート!$1:$2,2,FALSE)</f>
        <v>489</v>
      </c>
      <c r="D82" s="85">
        <f>HLOOKUP(SUBSTITUTE(CONCATENATE(SUBSTITUTE(SUBSTITUTE(A82,"歳","")," ",""),"_全体")," ",""),[8]データ貼り付けシート!$1:$2,2,FALSE)</f>
        <v>876</v>
      </c>
      <c r="E82" s="83"/>
    </row>
    <row r="83" spans="1:5" x14ac:dyDescent="0.4">
      <c r="A83" s="84" t="s">
        <v>84</v>
      </c>
      <c r="B83" s="85">
        <f>HLOOKUP(SUBSTITUTE(CONCATENATE(SUBSTITUTE(SUBSTITUTE(A83,"歳","")," ",""),"_男")," ",""),[8]データ貼り付けシート!$1:$2,2,FALSE)</f>
        <v>337</v>
      </c>
      <c r="C83" s="85">
        <f>HLOOKUP(SUBSTITUTE(CONCATENATE(SUBSTITUTE(SUBSTITUTE(A83,"歳","")," ",""),"_女")," ",""),[8]データ貼り付けシート!$1:$2,2,FALSE)</f>
        <v>360</v>
      </c>
      <c r="D83" s="85">
        <f>HLOOKUP(SUBSTITUTE(CONCATENATE(SUBSTITUTE(SUBSTITUTE(A83,"歳","")," ",""),"_全体")," ",""),[8]データ貼り付けシート!$1:$2,2,FALSE)</f>
        <v>697</v>
      </c>
      <c r="E83" s="83"/>
    </row>
    <row r="84" spans="1:5" x14ac:dyDescent="0.4">
      <c r="A84" s="84" t="s">
        <v>85</v>
      </c>
      <c r="B84" s="85">
        <f>HLOOKUP(SUBSTITUTE(CONCATENATE(SUBSTITUTE(SUBSTITUTE(A84,"歳","")," ",""),"_男")," ",""),[8]データ貼り付けシート!$1:$2,2,FALSE)</f>
        <v>309</v>
      </c>
      <c r="C84" s="85">
        <f>HLOOKUP(SUBSTITUTE(CONCATENATE(SUBSTITUTE(SUBSTITUTE(A84,"歳","")," ",""),"_女")," ",""),[8]データ貼り付けシート!$1:$2,2,FALSE)</f>
        <v>398</v>
      </c>
      <c r="D84" s="85">
        <f>HLOOKUP(SUBSTITUTE(CONCATENATE(SUBSTITUTE(SUBSTITUTE(A84,"歳","")," ",""),"_全体")," ",""),[8]データ貼り付けシート!$1:$2,2,FALSE)</f>
        <v>707</v>
      </c>
      <c r="E84" s="83"/>
    </row>
    <row r="85" spans="1:5" x14ac:dyDescent="0.4">
      <c r="A85" s="84" t="s">
        <v>86</v>
      </c>
      <c r="B85" s="85">
        <f>HLOOKUP(SUBSTITUTE(CONCATENATE(SUBSTITUTE(SUBSTITUTE(A85,"歳","")," ",""),"_男")," ",""),[8]データ貼り付けシート!$1:$2,2,FALSE)</f>
        <v>282</v>
      </c>
      <c r="C85" s="85">
        <f>HLOOKUP(SUBSTITUTE(CONCATENATE(SUBSTITUTE(SUBSTITUTE(A85,"歳","")," ",""),"_女")," ",""),[8]データ貼り付けシート!$1:$2,2,FALSE)</f>
        <v>345</v>
      </c>
      <c r="D85" s="85">
        <f>HLOOKUP(SUBSTITUTE(CONCATENATE(SUBSTITUTE(SUBSTITUTE(A85,"歳","")," ",""),"_全体")," ",""),[8]データ貼り付けシート!$1:$2,2,FALSE)</f>
        <v>627</v>
      </c>
      <c r="E85" s="83"/>
    </row>
    <row r="86" spans="1:5" x14ac:dyDescent="0.4">
      <c r="A86" s="84" t="s">
        <v>87</v>
      </c>
      <c r="B86" s="85">
        <f>HLOOKUP(SUBSTITUTE(CONCATENATE(SUBSTITUTE(SUBSTITUTE(A86,"歳","")," ",""),"_男")," ",""),[8]データ貼り付けシート!$1:$2,2,FALSE)</f>
        <v>282</v>
      </c>
      <c r="C86" s="85">
        <f>HLOOKUP(SUBSTITUTE(CONCATENATE(SUBSTITUTE(SUBSTITUTE(A86,"歳","")," ",""),"_女")," ",""),[8]データ貼り付けシート!$1:$2,2,FALSE)</f>
        <v>322</v>
      </c>
      <c r="D86" s="85">
        <f>HLOOKUP(SUBSTITUTE(CONCATENATE(SUBSTITUTE(SUBSTITUTE(A86,"歳","")," ",""),"_全体")," ",""),[8]データ貼り付けシート!$1:$2,2,FALSE)</f>
        <v>604</v>
      </c>
      <c r="E86" s="83"/>
    </row>
    <row r="87" spans="1:5" x14ac:dyDescent="0.4">
      <c r="A87" s="84" t="s">
        <v>88</v>
      </c>
      <c r="B87" s="85">
        <f>HLOOKUP(SUBSTITUTE(CONCATENATE(SUBSTITUTE(SUBSTITUTE(A87,"歳","")," ",""),"_男")," ",""),[8]データ貼り付けシート!$1:$2,2,FALSE)</f>
        <v>205</v>
      </c>
      <c r="C87" s="85">
        <f>HLOOKUP(SUBSTITUTE(CONCATENATE(SUBSTITUTE(SUBSTITUTE(A87,"歳","")," ",""),"_女")," ",""),[8]データ貼り付けシート!$1:$2,2,FALSE)</f>
        <v>273</v>
      </c>
      <c r="D87" s="85">
        <f>HLOOKUP(SUBSTITUTE(CONCATENATE(SUBSTITUTE(SUBSTITUTE(A87,"歳","")," ",""),"_全体")," ",""),[8]データ貼り付けシート!$1:$2,2,FALSE)</f>
        <v>478</v>
      </c>
      <c r="E87" s="83"/>
    </row>
    <row r="88" spans="1:5" x14ac:dyDescent="0.4">
      <c r="A88" s="84" t="s">
        <v>89</v>
      </c>
      <c r="B88" s="85">
        <f>HLOOKUP(SUBSTITUTE(CONCATENATE(SUBSTITUTE(SUBSTITUTE(A88,"歳","")," ",""),"_男")," ",""),[8]データ貼り付けシート!$1:$2,2,FALSE)</f>
        <v>152</v>
      </c>
      <c r="C88" s="85">
        <f>HLOOKUP(SUBSTITUTE(CONCATENATE(SUBSTITUTE(SUBSTITUTE(A88,"歳","")," ",""),"_女")," ",""),[8]データ貼り付けシート!$1:$2,2,FALSE)</f>
        <v>281</v>
      </c>
      <c r="D88" s="85">
        <f>HLOOKUP(SUBSTITUTE(CONCATENATE(SUBSTITUTE(SUBSTITUTE(A88,"歳","")," ",""),"_全体")," ",""),[8]データ貼り付けシート!$1:$2,2,FALSE)</f>
        <v>433</v>
      </c>
      <c r="E88" s="83"/>
    </row>
    <row r="89" spans="1:5" x14ac:dyDescent="0.4">
      <c r="A89" s="84" t="s">
        <v>90</v>
      </c>
      <c r="B89" s="85">
        <f>HLOOKUP(SUBSTITUTE(CONCATENATE(SUBSTITUTE(SUBSTITUTE(A89,"歳","")," ",""),"_男")," ",""),[8]データ貼り付けシート!$1:$2,2,FALSE)</f>
        <v>130</v>
      </c>
      <c r="C89" s="85">
        <f>HLOOKUP(SUBSTITUTE(CONCATENATE(SUBSTITUTE(SUBSTITUTE(A89,"歳","")," ",""),"_女")," ",""),[8]データ貼り付けシート!$1:$2,2,FALSE)</f>
        <v>245</v>
      </c>
      <c r="D89" s="85">
        <f>HLOOKUP(SUBSTITUTE(CONCATENATE(SUBSTITUTE(SUBSTITUTE(A89,"歳","")," ",""),"_全体")," ",""),[8]データ貼り付けシート!$1:$2,2,FALSE)</f>
        <v>375</v>
      </c>
      <c r="E89" s="83"/>
    </row>
    <row r="90" spans="1:5" x14ac:dyDescent="0.4">
      <c r="A90" s="84" t="s">
        <v>91</v>
      </c>
      <c r="B90" s="85">
        <f>HLOOKUP(SUBSTITUTE(CONCATENATE(SUBSTITUTE(SUBSTITUTE(A90,"歳","")," ",""),"_男")," ",""),[8]データ貼り付けシート!$1:$2,2,FALSE)</f>
        <v>126</v>
      </c>
      <c r="C90" s="85">
        <f>HLOOKUP(SUBSTITUTE(CONCATENATE(SUBSTITUTE(SUBSTITUTE(A90,"歳","")," ",""),"_女")," ",""),[8]データ貼り付けシート!$1:$2,2,FALSE)</f>
        <v>181</v>
      </c>
      <c r="D90" s="85">
        <f>HLOOKUP(SUBSTITUTE(CONCATENATE(SUBSTITUTE(SUBSTITUTE(A90,"歳","")," ",""),"_全体")," ",""),[8]データ貼り付けシート!$1:$2,2,FALSE)</f>
        <v>307</v>
      </c>
      <c r="E90" s="83"/>
    </row>
    <row r="91" spans="1:5" x14ac:dyDescent="0.4">
      <c r="A91" s="84" t="s">
        <v>92</v>
      </c>
      <c r="B91" s="85">
        <f>HLOOKUP(SUBSTITUTE(CONCATENATE(SUBSTITUTE(SUBSTITUTE(A91,"歳","")," ",""),"_男")," ",""),[8]データ貼り付けシート!$1:$2,2,FALSE)</f>
        <v>94</v>
      </c>
      <c r="C91" s="85">
        <f>HLOOKUP(SUBSTITUTE(CONCATENATE(SUBSTITUTE(SUBSTITUTE(A91,"歳","")," ",""),"_女")," ",""),[8]データ貼り付けシート!$1:$2,2,FALSE)</f>
        <v>173</v>
      </c>
      <c r="D91" s="85">
        <f>HLOOKUP(SUBSTITUTE(CONCATENATE(SUBSTITUTE(SUBSTITUTE(A91,"歳","")," ",""),"_全体")," ",""),[8]データ貼り付けシート!$1:$2,2,FALSE)</f>
        <v>267</v>
      </c>
      <c r="E91" s="83"/>
    </row>
    <row r="92" spans="1:5" x14ac:dyDescent="0.4">
      <c r="A92" s="84" t="s">
        <v>93</v>
      </c>
      <c r="B92" s="85">
        <f>HLOOKUP(SUBSTITUTE(CONCATENATE(SUBSTITUTE(SUBSTITUTE(A92,"歳","")," ",""),"_男")," ",""),[8]データ貼り付けシート!$1:$2,2,FALSE)</f>
        <v>56</v>
      </c>
      <c r="C92" s="85">
        <f>HLOOKUP(SUBSTITUTE(CONCATENATE(SUBSTITUTE(SUBSTITUTE(A92,"歳","")," ",""),"_女")," ",""),[8]データ貼り付けシート!$1:$2,2,FALSE)</f>
        <v>137</v>
      </c>
      <c r="D92" s="85">
        <f>HLOOKUP(SUBSTITUTE(CONCATENATE(SUBSTITUTE(SUBSTITUTE(A92,"歳","")," ",""),"_全体")," ",""),[8]データ貼り付けシート!$1:$2,2,FALSE)</f>
        <v>193</v>
      </c>
      <c r="E92" s="83"/>
    </row>
    <row r="93" spans="1:5" x14ac:dyDescent="0.4">
      <c r="A93" s="84" t="s">
        <v>94</v>
      </c>
      <c r="B93" s="85">
        <f>HLOOKUP(SUBSTITUTE(CONCATENATE(SUBSTITUTE(SUBSTITUTE(A93,"歳","")," ",""),"_男")," ",""),[8]データ貼り付けシート!$1:$2,2,FALSE)</f>
        <v>60</v>
      </c>
      <c r="C93" s="85">
        <f>HLOOKUP(SUBSTITUTE(CONCATENATE(SUBSTITUTE(SUBSTITUTE(A93,"歳","")," ",""),"_女")," ",""),[8]データ貼り付けシート!$1:$2,2,FALSE)</f>
        <v>150</v>
      </c>
      <c r="D93" s="85">
        <f>HLOOKUP(SUBSTITUTE(CONCATENATE(SUBSTITUTE(SUBSTITUTE(A93,"歳","")," ",""),"_全体")," ",""),[8]データ貼り付けシート!$1:$2,2,FALSE)</f>
        <v>210</v>
      </c>
      <c r="E93" s="83"/>
    </row>
    <row r="94" spans="1:5" x14ac:dyDescent="0.4">
      <c r="A94" s="84" t="s">
        <v>95</v>
      </c>
      <c r="B94" s="85">
        <f>HLOOKUP(SUBSTITUTE(CONCATENATE(SUBSTITUTE(SUBSTITUTE(A94,"歳","")," ",""),"_男")," ",""),[8]データ貼り付けシート!$1:$2,2,FALSE)</f>
        <v>41</v>
      </c>
      <c r="C94" s="85">
        <f>HLOOKUP(SUBSTITUTE(CONCATENATE(SUBSTITUTE(SUBSTITUTE(A94,"歳","")," ",""),"_女")," ",""),[8]データ貼り付けシート!$1:$2,2,FALSE)</f>
        <v>110</v>
      </c>
      <c r="D94" s="85">
        <f>HLOOKUP(SUBSTITUTE(CONCATENATE(SUBSTITUTE(SUBSTITUTE(A94,"歳","")," ",""),"_全体")," ",""),[8]データ貼り付けシート!$1:$2,2,FALSE)</f>
        <v>151</v>
      </c>
      <c r="E94" s="83"/>
    </row>
    <row r="95" spans="1:5" x14ac:dyDescent="0.4">
      <c r="A95" s="84" t="s">
        <v>96</v>
      </c>
      <c r="B95" s="85">
        <f>HLOOKUP(SUBSTITUTE(CONCATENATE(SUBSTITUTE(SUBSTITUTE(A95,"歳","")," ",""),"_男")," ",""),[8]データ貼り付けシート!$1:$2,2,FALSE)</f>
        <v>36</v>
      </c>
      <c r="C95" s="85">
        <f>HLOOKUP(SUBSTITUTE(CONCATENATE(SUBSTITUTE(SUBSTITUTE(A95,"歳","")," ",""),"_女")," ",""),[8]データ貼り付けシート!$1:$2,2,FALSE)</f>
        <v>97</v>
      </c>
      <c r="D95" s="85">
        <f>HLOOKUP(SUBSTITUTE(CONCATENATE(SUBSTITUTE(SUBSTITUTE(A95,"歳","")," ",""),"_全体")," ",""),[8]データ貼り付けシート!$1:$2,2,FALSE)</f>
        <v>133</v>
      </c>
      <c r="E95" s="83"/>
    </row>
    <row r="96" spans="1:5" x14ac:dyDescent="0.4">
      <c r="A96" s="84" t="s">
        <v>97</v>
      </c>
      <c r="B96" s="85">
        <f>HLOOKUP(SUBSTITUTE(CONCATENATE(SUBSTITUTE(SUBSTITUTE(A96,"歳","")," ",""),"_男")," ",""),[8]データ貼り付けシート!$1:$2,2,FALSE)</f>
        <v>21</v>
      </c>
      <c r="C96" s="85">
        <f>HLOOKUP(SUBSTITUTE(CONCATENATE(SUBSTITUTE(SUBSTITUTE(A96,"歳","")," ",""),"_女")," ",""),[8]データ貼り付けシート!$1:$2,2,FALSE)</f>
        <v>75</v>
      </c>
      <c r="D96" s="85">
        <f>HLOOKUP(SUBSTITUTE(CONCATENATE(SUBSTITUTE(SUBSTITUTE(A96,"歳","")," ",""),"_全体")," ",""),[8]データ貼り付けシート!$1:$2,2,FALSE)</f>
        <v>96</v>
      </c>
      <c r="E96" s="83"/>
    </row>
    <row r="97" spans="1:5" x14ac:dyDescent="0.4">
      <c r="A97" s="84" t="s">
        <v>98</v>
      </c>
      <c r="B97" s="85">
        <f>HLOOKUP(SUBSTITUTE(CONCATENATE(SUBSTITUTE(SUBSTITUTE(A97,"歳","")," ",""),"_男")," ",""),[8]データ貼り付けシート!$1:$2,2,FALSE)</f>
        <v>15</v>
      </c>
      <c r="C97" s="85">
        <f>HLOOKUP(SUBSTITUTE(CONCATENATE(SUBSTITUTE(SUBSTITUTE(A97,"歳","")," ",""),"_女")," ",""),[8]データ貼り付けシート!$1:$2,2,FALSE)</f>
        <v>63</v>
      </c>
      <c r="D97" s="85">
        <f>HLOOKUP(SUBSTITUTE(CONCATENATE(SUBSTITUTE(SUBSTITUTE(A97,"歳","")," ",""),"_全体")," ",""),[8]データ貼り付けシート!$1:$2,2,FALSE)</f>
        <v>78</v>
      </c>
      <c r="E97" s="83"/>
    </row>
    <row r="98" spans="1:5" x14ac:dyDescent="0.4">
      <c r="A98" s="84" t="s">
        <v>99</v>
      </c>
      <c r="B98" s="85">
        <f>HLOOKUP(SUBSTITUTE(CONCATENATE(SUBSTITUTE(SUBSTITUTE(A98,"歳","")," ",""),"_男")," ",""),[8]データ貼り付けシート!$1:$2,2,FALSE)</f>
        <v>8</v>
      </c>
      <c r="C98" s="85">
        <f>HLOOKUP(SUBSTITUTE(CONCATENATE(SUBSTITUTE(SUBSTITUTE(A98,"歳","")," ",""),"_女")," ",""),[8]データ貼り付けシート!$1:$2,2,FALSE)</f>
        <v>52</v>
      </c>
      <c r="D98" s="85">
        <f>HLOOKUP(SUBSTITUTE(CONCATENATE(SUBSTITUTE(SUBSTITUTE(A98,"歳","")," ",""),"_全体")," ",""),[8]データ貼り付けシート!$1:$2,2,FALSE)</f>
        <v>60</v>
      </c>
      <c r="E98" s="83"/>
    </row>
    <row r="99" spans="1:5" x14ac:dyDescent="0.4">
      <c r="A99" s="84" t="s">
        <v>100</v>
      </c>
      <c r="B99" s="85">
        <f>HLOOKUP(SUBSTITUTE(CONCATENATE(SUBSTITUTE(SUBSTITUTE(A99,"歳","")," ",""),"_男")," ",""),[8]データ貼り付けシート!$1:$2,2,FALSE)</f>
        <v>7</v>
      </c>
      <c r="C99" s="85">
        <f>HLOOKUP(SUBSTITUTE(CONCATENATE(SUBSTITUTE(SUBSTITUTE(A99,"歳","")," ",""),"_女")," ",""),[8]データ貼り付けシート!$1:$2,2,FALSE)</f>
        <v>32</v>
      </c>
      <c r="D99" s="85">
        <f>HLOOKUP(SUBSTITUTE(CONCATENATE(SUBSTITUTE(SUBSTITUTE(A99,"歳","")," ",""),"_全体")," ",""),[8]データ貼り付けシート!$1:$2,2,FALSE)</f>
        <v>39</v>
      </c>
      <c r="E99" s="83"/>
    </row>
    <row r="100" spans="1:5" x14ac:dyDescent="0.4">
      <c r="A100" s="84" t="s">
        <v>101</v>
      </c>
      <c r="B100" s="85">
        <f>HLOOKUP(SUBSTITUTE(CONCATENATE(SUBSTITUTE(SUBSTITUTE(A100,"歳","")," ",""),"_男")," ",""),[8]データ貼り付けシート!$1:$2,2,FALSE)</f>
        <v>6</v>
      </c>
      <c r="C100" s="85">
        <f>HLOOKUP(SUBSTITUTE(CONCATENATE(SUBSTITUTE(SUBSTITUTE(A100,"歳","")," ",""),"_女")," ",""),[8]データ貼り付けシート!$1:$2,2,FALSE)</f>
        <v>35</v>
      </c>
      <c r="D100" s="85">
        <f>HLOOKUP(SUBSTITUTE(CONCATENATE(SUBSTITUTE(SUBSTITUTE(A100,"歳","")," ",""),"_全体")," ",""),[8]データ貼り付けシート!$1:$2,2,FALSE)</f>
        <v>41</v>
      </c>
      <c r="E100" s="83"/>
    </row>
    <row r="101" spans="1:5" x14ac:dyDescent="0.4">
      <c r="A101" s="84" t="s">
        <v>102</v>
      </c>
      <c r="B101" s="85">
        <f>HLOOKUP(SUBSTITUTE(CONCATENATE(SUBSTITUTE(SUBSTITUTE(A101,"歳","")," ",""),"_男")," ",""),[8]データ貼り付けシート!$1:$2,2,FALSE)</f>
        <v>2</v>
      </c>
      <c r="C101" s="85">
        <f>HLOOKUP(SUBSTITUTE(CONCATENATE(SUBSTITUTE(SUBSTITUTE(A101,"歳","")," ",""),"_女")," ",""),[8]データ貼り付けシート!$1:$2,2,FALSE)</f>
        <v>14</v>
      </c>
      <c r="D101" s="85">
        <f>HLOOKUP(SUBSTITUTE(CONCATENATE(SUBSTITUTE(SUBSTITUTE(A101,"歳","")," ",""),"_全体")," ",""),[8]データ貼り付けシート!$1:$2,2,FALSE)</f>
        <v>16</v>
      </c>
      <c r="E101" s="83"/>
    </row>
    <row r="102" spans="1:5" x14ac:dyDescent="0.4">
      <c r="A102" s="84" t="s">
        <v>103</v>
      </c>
      <c r="B102" s="85">
        <f>HLOOKUP(SUBSTITUTE(CONCATENATE(SUBSTITUTE(SUBSTITUTE(A102,"歳","")," ",""),"_男")," ",""),[8]データ貼り付けシート!$1:$2,2,FALSE)</f>
        <v>3</v>
      </c>
      <c r="C102" s="85">
        <f>HLOOKUP(SUBSTITUTE(CONCATENATE(SUBSTITUTE(SUBSTITUTE(A102,"歳","")," ",""),"_女")," ",""),[8]データ貼り付けシート!$1:$2,2,FALSE)</f>
        <v>23</v>
      </c>
      <c r="D102" s="85">
        <f>HLOOKUP(SUBSTITUTE(CONCATENATE(SUBSTITUTE(SUBSTITUTE(A102,"歳","")," ",""),"_全体")," ",""),[8]データ貼り付けシート!$1:$2,2,FALSE)</f>
        <v>26</v>
      </c>
      <c r="E102" s="83"/>
    </row>
    <row r="103" spans="1:5" x14ac:dyDescent="0.4">
      <c r="A103" s="84" t="s">
        <v>104</v>
      </c>
      <c r="B103" s="85">
        <f>HLOOKUP(SUBSTITUTE(CONCATENATE(SUBSTITUTE(SUBSTITUTE(A103,"歳","")," ",""),"_男")," ",""),[8]データ貼り付けシート!$1:$2,2,FALSE)</f>
        <v>1</v>
      </c>
      <c r="C103" s="85">
        <f>HLOOKUP(SUBSTITUTE(CONCATENATE(SUBSTITUTE(SUBSTITUTE(A103,"歳","")," ",""),"_女")," ",""),[8]データ貼り付けシート!$1:$2,2,FALSE)</f>
        <v>7</v>
      </c>
      <c r="D103" s="85">
        <f>HLOOKUP(SUBSTITUTE(CONCATENATE(SUBSTITUTE(SUBSTITUTE(A103,"歳","")," ",""),"_全体")," ",""),[8]データ貼り付けシート!$1:$2,2,FALSE)</f>
        <v>8</v>
      </c>
      <c r="E103" s="83"/>
    </row>
    <row r="104" spans="1:5" x14ac:dyDescent="0.4">
      <c r="A104" s="84" t="s">
        <v>105</v>
      </c>
      <c r="B104" s="85">
        <f>HLOOKUP(SUBSTITUTE(CONCATENATE(SUBSTITUTE(SUBSTITUTE(A104,"歳","")," ",""),"_男")," ",""),[8]データ貼り付けシート!$1:$2,2,FALSE)</f>
        <v>0</v>
      </c>
      <c r="C104" s="85">
        <f>HLOOKUP(SUBSTITUTE(CONCATENATE(SUBSTITUTE(SUBSTITUTE(A104,"歳","")," ",""),"_女")," ",""),[8]データ貼り付けシート!$1:$2,2,FALSE)</f>
        <v>3</v>
      </c>
      <c r="D104" s="85">
        <f>HLOOKUP(SUBSTITUTE(CONCATENATE(SUBSTITUTE(SUBSTITUTE(A104,"歳","")," ",""),"_全体")," ",""),[8]データ貼り付けシート!$1:$2,2,FALSE)</f>
        <v>3</v>
      </c>
      <c r="E104" s="83"/>
    </row>
    <row r="105" spans="1:5" x14ac:dyDescent="0.4">
      <c r="A105" s="84" t="s">
        <v>106</v>
      </c>
      <c r="B105" s="85">
        <f>HLOOKUP(SUBSTITUTE(CONCATENATE(SUBSTITUTE(SUBSTITUTE(A105,"歳","")," ",""),"_男")," ",""),[8]データ貼り付けシート!$1:$2,2,FALSE)</f>
        <v>0</v>
      </c>
      <c r="C105" s="85">
        <f>HLOOKUP(SUBSTITUTE(CONCATENATE(SUBSTITUTE(SUBSTITUTE(A105,"歳","")," ",""),"_女")," ",""),[8]データ貼り付けシート!$1:$2,2,FALSE)</f>
        <v>1</v>
      </c>
      <c r="D105" s="85">
        <f>HLOOKUP(SUBSTITUTE(CONCATENATE(SUBSTITUTE(SUBSTITUTE(A105,"歳","")," ",""),"_全体")," ",""),[8]データ貼り付けシート!$1:$2,2,FALSE)</f>
        <v>1</v>
      </c>
      <c r="E105" s="83"/>
    </row>
    <row r="106" spans="1:5" x14ac:dyDescent="0.4">
      <c r="A106" s="84" t="s">
        <v>107</v>
      </c>
      <c r="B106" s="85">
        <f>HLOOKUP(SUBSTITUTE(CONCATENATE(SUBSTITUTE(SUBSTITUTE(A106,"歳","")," ",""),"_男")," ",""),[8]データ貼り付けシート!$1:$2,2,FALSE)</f>
        <v>1</v>
      </c>
      <c r="C106" s="85">
        <f>HLOOKUP(SUBSTITUTE(CONCATENATE(SUBSTITUTE(SUBSTITUTE(A106,"歳","")," ",""),"_女")," ",""),[8]データ貼り付けシート!$1:$2,2,FALSE)</f>
        <v>4</v>
      </c>
      <c r="D106" s="85">
        <f>HLOOKUP(SUBSTITUTE(CONCATENATE(SUBSTITUTE(SUBSTITUTE(A106,"歳","")," ",""),"_全体")," ",""),[8]データ貼り付けシート!$1:$2,2,FALSE)</f>
        <v>5</v>
      </c>
      <c r="E106" s="83"/>
    </row>
    <row r="107" spans="1:5" x14ac:dyDescent="0.4">
      <c r="A107" s="84" t="s">
        <v>108</v>
      </c>
      <c r="B107" s="85">
        <f>HLOOKUP(SUBSTITUTE(CONCATENATE(SUBSTITUTE(SUBSTITUTE(A107,"歳","")," ",""),"_男")," ",""),[8]データ貼り付けシート!$1:$2,2,FALSE)</f>
        <v>0</v>
      </c>
      <c r="C107" s="85">
        <f>HLOOKUP(SUBSTITUTE(CONCATENATE(SUBSTITUTE(SUBSTITUTE(A107,"歳","")," ",""),"_女")," ",""),[8]データ貼り付けシート!$1:$2,2,FALSE)</f>
        <v>3</v>
      </c>
      <c r="D107" s="85">
        <f>HLOOKUP(SUBSTITUTE(CONCATENATE(SUBSTITUTE(SUBSTITUTE(A107,"歳","")," ",""),"_全体")," ",""),[8]データ貼り付けシート!$1:$2,2,FALSE)</f>
        <v>3</v>
      </c>
      <c r="E107" s="83"/>
    </row>
    <row r="108" spans="1:5" x14ac:dyDescent="0.4">
      <c r="A108" s="84" t="s">
        <v>173</v>
      </c>
      <c r="B108" s="85">
        <f>IF(ISERROR(HLOOKUP("105以上_男",[8]データ貼り付けシート!$1:$2,2,FALSE)),0,HLOOKUP("105以上_男",[8]データ貼り付けシート!$1:$2,2,FALSE))+IF(ISERROR(HLOOKUP("105_男",[8]データ貼り付けシート!$1:$2,2,FALSE)),0,HLOOKUP("105_男",[8]データ貼り付けシート!$1:$2,2,FALSE))</f>
        <v>0</v>
      </c>
      <c r="C108" s="85">
        <f>IF(ISERROR(HLOOKUP("105以上_女",[8]データ貼り付けシート!$1:$2,2,FALSE)),0,HLOOKUP("105以上_女",[8]データ貼り付けシート!$1:$2,2,FALSE))+IF(ISERROR(HLOOKUP("105_女",[8]データ貼り付けシート!$1:$2,2,FALSE)),0,HLOOKUP("105_女",[8]データ貼り付けシート!$1:$2,2,FALSE))</f>
        <v>0</v>
      </c>
      <c r="D108" s="85">
        <f>B108+C108</f>
        <v>0</v>
      </c>
      <c r="E108" s="83"/>
    </row>
    <row r="109" spans="1:5" x14ac:dyDescent="0.4">
      <c r="A109" s="84" t="s">
        <v>174</v>
      </c>
      <c r="B109" s="85">
        <f>IF(ISERROR(HLOOKUP("106以上_男",[8]データ貼り付けシート!$1:$2,2,FALSE)),0,HLOOKUP("106以上_男",[8]データ貼り付けシート!$1:$2,2,FALSE))+IF(ISERROR(HLOOKUP("106_男",[8]データ貼り付けシート!$1:$2,2,FALSE)),0,HLOOKUP("106_男",[8]データ貼り付けシート!$1:$2,2,FALSE))</f>
        <v>0</v>
      </c>
      <c r="C109" s="85">
        <v>0</v>
      </c>
      <c r="D109" s="85">
        <f>B109+C109</f>
        <v>0</v>
      </c>
      <c r="E109" s="83"/>
    </row>
    <row r="110" spans="1:5" x14ac:dyDescent="0.4">
      <c r="A110" s="84" t="s">
        <v>175</v>
      </c>
      <c r="B110" s="85">
        <f>IF(ISERROR(HLOOKUP("107以上_男",[8]データ貼り付けシート!$1:$2,2,FALSE)),0,HLOOKUP("107以上_男",[8]データ貼り付けシート!$1:$2,2,FALSE))+IF(ISERROR(HLOOKUP("107_男",[8]データ貼り付けシート!$1:$2,2,FALSE)),0,HLOOKUP("107_男",[8]データ貼り付けシート!$1:$2,2,FALSE))</f>
        <v>0</v>
      </c>
      <c r="C110" s="85">
        <v>1</v>
      </c>
      <c r="D110" s="85">
        <v>1</v>
      </c>
      <c r="E110" s="83"/>
    </row>
    <row r="111" spans="1:5" x14ac:dyDescent="0.4">
      <c r="A111" s="84" t="s">
        <v>176</v>
      </c>
      <c r="B111" s="85">
        <f>IF(ISERROR(HLOOKUP("108以上_男",[8]データ貼り付けシート!$1:$2,2,FALSE)),0,HLOOKUP("108以上_男",[8]データ貼り付けシート!$1:$2,2,FALSE))+IF(ISERROR(HLOOKUP("108_男",[8]データ貼り付けシート!$1:$2,2,FALSE)),0,HLOOKUP("108_男",[8]データ貼り付けシート!$1:$2,2,FALSE))</f>
        <v>0</v>
      </c>
      <c r="C111" s="85">
        <f>IF(ISERROR(HLOOKUP("108以上_女",[8]データ貼り付けシート!$1:$2,2,FALSE)),0,HLOOKUP("108以上_女",[8]データ貼り付けシート!$1:$2,2,FALSE))+IF(ISERROR(HLOOKUP("108_女",[8]データ貼り付けシート!$1:$2,2,FALSE)),0,HLOOKUP("108_女",[8]データ貼り付けシート!$1:$2,2,FALSE))</f>
        <v>0</v>
      </c>
      <c r="D111" s="85">
        <f t="shared" ref="D111:D113" si="0">B111+C111</f>
        <v>0</v>
      </c>
      <c r="E111" s="83"/>
    </row>
    <row r="112" spans="1:5" x14ac:dyDescent="0.4">
      <c r="A112" s="84" t="s">
        <v>177</v>
      </c>
      <c r="B112" s="85">
        <f>IF(ISERROR(HLOOKUP("109以上_男",[8]データ貼り付けシート!$1:$2,2,FALSE)),0,HLOOKUP("109以上_男",[8]データ貼り付けシート!$1:$2,2,FALSE))+IF(ISERROR(HLOOKUP("109_男",[8]データ貼り付けシート!$1:$2,2,FALSE)),0,HLOOKUP("109_男",[8]データ貼り付けシート!$1:$2,2,FALSE))</f>
        <v>0</v>
      </c>
      <c r="C112" s="85">
        <f>IF(ISERROR(HLOOKUP("109以上_女",[8]データ貼り付けシート!$1:$2,2,FALSE)),0,HLOOKUP("109以上_女",[8]データ貼り付けシート!$1:$2,2,FALSE))+IF(ISERROR(HLOOKUP("109_女",[8]データ貼り付けシート!$1:$2,2,FALSE)),0,HLOOKUP("109_女",[8]データ貼り付けシート!$1:$2,2,FALSE))</f>
        <v>0</v>
      </c>
      <c r="D112" s="85">
        <f t="shared" si="0"/>
        <v>0</v>
      </c>
      <c r="E112" s="83"/>
    </row>
    <row r="113" spans="1:5" x14ac:dyDescent="0.4">
      <c r="A113" s="84" t="s">
        <v>178</v>
      </c>
      <c r="B113" s="85">
        <f>IF(ISERROR(HLOOKUP("110以上_男",[8]データ貼り付けシート!$1:$2,2,FALSE)),0,HLOOKUP("110以上_男",[8]データ貼り付けシート!$1:$2,2,FALSE))+IF(ISERROR(HLOOKUP("110_男",[8]データ貼り付けシート!$1:$2,2,FALSE)),0,HLOOKUP("110_男",[8]データ貼り付けシート!$1:$2,2,FALSE))</f>
        <v>0</v>
      </c>
      <c r="C113" s="85">
        <f>IF(ISERROR(HLOOKUP("110以上_女",[8]データ貼り付けシート!$1:$2,2,FALSE)),0,HLOOKUP("107以上_女",[8]データ貼り付けシート!$1:$2,2,FALSE))+IF(ISERROR(HLOOKUP("110_女",[8]データ貼り付けシート!$1:$2,2,FALSE)),0,HLOOKUP("110_女",[8]データ貼り付けシート!$1:$2,2,FALSE))</f>
        <v>0</v>
      </c>
      <c r="D113" s="85">
        <f t="shared" si="0"/>
        <v>0</v>
      </c>
      <c r="E113" s="83"/>
    </row>
    <row r="114" spans="1:5" x14ac:dyDescent="0.4">
      <c r="A114" s="83"/>
      <c r="B114" s="86"/>
      <c r="C114" s="86"/>
      <c r="D114" s="86"/>
      <c r="E114" s="83"/>
    </row>
    <row r="115" spans="1:5" x14ac:dyDescent="0.4">
      <c r="A115" s="87" t="s">
        <v>0</v>
      </c>
      <c r="B115" s="87" t="s">
        <v>1</v>
      </c>
      <c r="C115" s="88" t="s">
        <v>2</v>
      </c>
      <c r="D115" s="82" t="s">
        <v>3</v>
      </c>
      <c r="E115" s="83"/>
    </row>
    <row r="116" spans="1:5" x14ac:dyDescent="0.4">
      <c r="A116" s="87" t="s">
        <v>115</v>
      </c>
      <c r="B116" s="89">
        <f>SUM(B3:B8)</f>
        <v>2364</v>
      </c>
      <c r="C116" s="90">
        <f>SUM(C3:C8)</f>
        <v>2249</v>
      </c>
      <c r="D116" s="85">
        <f>B116+C116</f>
        <v>4613</v>
      </c>
      <c r="E116" s="83"/>
    </row>
    <row r="117" spans="1:5" x14ac:dyDescent="0.4">
      <c r="A117" s="87" t="s">
        <v>116</v>
      </c>
      <c r="B117" s="89">
        <f>SUM(B9:B14)</f>
        <v>2193</v>
      </c>
      <c r="C117" s="89">
        <f>SUM(C9:C14)</f>
        <v>2110</v>
      </c>
      <c r="D117" s="85">
        <f>B117+C117</f>
        <v>4303</v>
      </c>
      <c r="E117" s="83"/>
    </row>
    <row r="118" spans="1:5" x14ac:dyDescent="0.4">
      <c r="A118" s="87" t="s">
        <v>117</v>
      </c>
      <c r="B118" s="89">
        <f>SUM(B15:B17)</f>
        <v>1177</v>
      </c>
      <c r="C118" s="89">
        <f>SUM(C15:C17)</f>
        <v>1086</v>
      </c>
      <c r="D118" s="85">
        <f>B118+C118</f>
        <v>2263</v>
      </c>
      <c r="E118" s="83"/>
    </row>
    <row r="119" spans="1:5" x14ac:dyDescent="0.4">
      <c r="A119" s="87" t="s">
        <v>179</v>
      </c>
      <c r="B119" s="89">
        <f>SUM(B116:B118)</f>
        <v>5734</v>
      </c>
      <c r="C119" s="89">
        <f>SUM(C116:C118)</f>
        <v>5445</v>
      </c>
      <c r="D119" s="89">
        <f>SUM(D116:D118)</f>
        <v>11179</v>
      </c>
      <c r="E119" s="91">
        <f>D119/D135</f>
        <v>0.12925791457576949</v>
      </c>
    </row>
    <row r="120" spans="1:5" x14ac:dyDescent="0.4">
      <c r="A120" s="83"/>
      <c r="B120" s="83"/>
      <c r="C120" s="83"/>
      <c r="D120" s="83"/>
      <c r="E120" s="83"/>
    </row>
    <row r="121" spans="1:5" x14ac:dyDescent="0.4">
      <c r="A121" s="82" t="s">
        <v>0</v>
      </c>
      <c r="B121" s="82" t="s">
        <v>1</v>
      </c>
      <c r="C121" s="82" t="s">
        <v>2</v>
      </c>
      <c r="D121" s="82" t="s">
        <v>3</v>
      </c>
      <c r="E121" s="83"/>
    </row>
    <row r="122" spans="1:5" x14ac:dyDescent="0.4">
      <c r="A122" s="82" t="s">
        <v>119</v>
      </c>
      <c r="B122" s="85">
        <f>SUM(B18:B20)</f>
        <v>1181</v>
      </c>
      <c r="C122" s="85">
        <f>SUM(C18:C20)</f>
        <v>1151</v>
      </c>
      <c r="D122" s="85">
        <f t="shared" ref="D122:D126" si="1">B122+C122</f>
        <v>2332</v>
      </c>
      <c r="E122" s="83"/>
    </row>
    <row r="123" spans="1:5" x14ac:dyDescent="0.4">
      <c r="A123" s="82" t="s">
        <v>120</v>
      </c>
      <c r="B123" s="85">
        <f>SUM(B21:B32)</f>
        <v>5948</v>
      </c>
      <c r="C123" s="85">
        <f>SUM(C21:C32)</f>
        <v>5479</v>
      </c>
      <c r="D123" s="85">
        <f t="shared" si="1"/>
        <v>11427</v>
      </c>
      <c r="E123" s="83"/>
    </row>
    <row r="124" spans="1:5" x14ac:dyDescent="0.4">
      <c r="A124" s="82" t="s">
        <v>121</v>
      </c>
      <c r="B124" s="85">
        <f>SUM(B33:B42)</f>
        <v>5636</v>
      </c>
      <c r="C124" s="85">
        <f>SUM(C33:C42)</f>
        <v>5361</v>
      </c>
      <c r="D124" s="85">
        <f t="shared" si="1"/>
        <v>10997</v>
      </c>
      <c r="E124" s="83"/>
    </row>
    <row r="125" spans="1:5" x14ac:dyDescent="0.4">
      <c r="A125" s="82" t="s">
        <v>122</v>
      </c>
      <c r="B125" s="85">
        <f>SUM(B43:B52)</f>
        <v>7296</v>
      </c>
      <c r="C125" s="85">
        <f>SUM(C43:C52)</f>
        <v>6690</v>
      </c>
      <c r="D125" s="85">
        <f t="shared" si="1"/>
        <v>13986</v>
      </c>
      <c r="E125" s="83"/>
    </row>
    <row r="126" spans="1:5" x14ac:dyDescent="0.4">
      <c r="A126" s="92" t="s">
        <v>123</v>
      </c>
      <c r="B126" s="85">
        <f>SUM(B53:B67)</f>
        <v>7513</v>
      </c>
      <c r="C126" s="85">
        <f>SUM(C53:C67)</f>
        <v>6971</v>
      </c>
      <c r="D126" s="85">
        <f t="shared" si="1"/>
        <v>14484</v>
      </c>
      <c r="E126" s="83"/>
    </row>
    <row r="127" spans="1:5" ht="24" x14ac:dyDescent="0.4">
      <c r="A127" s="87" t="s">
        <v>180</v>
      </c>
      <c r="B127" s="90">
        <f>SUM(B122:B126)</f>
        <v>27574</v>
      </c>
      <c r="C127" s="90">
        <f>SUM(C122:C126)</f>
        <v>25652</v>
      </c>
      <c r="D127" s="90">
        <f>SUM(D122:D126)</f>
        <v>53226</v>
      </c>
      <c r="E127" s="91">
        <f>D127/D135</f>
        <v>0.61542908678861319</v>
      </c>
    </row>
    <row r="128" spans="1:5" x14ac:dyDescent="0.4">
      <c r="A128" s="83"/>
      <c r="B128" s="83"/>
      <c r="C128" s="83"/>
      <c r="D128" s="83"/>
      <c r="E128" s="83"/>
    </row>
    <row r="129" spans="1:5" x14ac:dyDescent="0.4">
      <c r="A129" s="82" t="s">
        <v>0</v>
      </c>
      <c r="B129" s="82" t="s">
        <v>1</v>
      </c>
      <c r="C129" s="82" t="s">
        <v>2</v>
      </c>
      <c r="D129" s="82" t="s">
        <v>3</v>
      </c>
      <c r="E129" s="83"/>
    </row>
    <row r="130" spans="1:5" x14ac:dyDescent="0.4">
      <c r="A130" s="82" t="s">
        <v>125</v>
      </c>
      <c r="B130" s="85">
        <f>SUM(B68:B72)</f>
        <v>2476</v>
      </c>
      <c r="C130" s="85">
        <f>SUM(C68:C72)</f>
        <v>2769</v>
      </c>
      <c r="D130" s="85">
        <f t="shared" ref="D130:D131" si="2">B130+C130</f>
        <v>5245</v>
      </c>
      <c r="E130" s="83"/>
    </row>
    <row r="131" spans="1:5" x14ac:dyDescent="0.4">
      <c r="A131" s="92" t="s">
        <v>126</v>
      </c>
      <c r="B131" s="85">
        <f>SUM(B73:B113)</f>
        <v>7294</v>
      </c>
      <c r="C131" s="85">
        <f>SUM(C73:C113)</f>
        <v>9542</v>
      </c>
      <c r="D131" s="85">
        <f t="shared" si="2"/>
        <v>16836</v>
      </c>
      <c r="E131" s="83"/>
    </row>
    <row r="132" spans="1:5" x14ac:dyDescent="0.4">
      <c r="A132" s="87" t="s">
        <v>181</v>
      </c>
      <c r="B132" s="90">
        <f>SUM(B130:B131)</f>
        <v>9770</v>
      </c>
      <c r="C132" s="90">
        <f>SUM(C130:C131)</f>
        <v>12311</v>
      </c>
      <c r="D132" s="90">
        <f>SUM(D130:D131)</f>
        <v>22081</v>
      </c>
      <c r="E132" s="91">
        <f>D132/D135</f>
        <v>0.25531299863561735</v>
      </c>
    </row>
    <row r="133" spans="1:5" x14ac:dyDescent="0.4">
      <c r="A133" s="83"/>
      <c r="B133" s="83"/>
      <c r="C133" s="83"/>
      <c r="D133" s="83"/>
      <c r="E133" s="83"/>
    </row>
    <row r="134" spans="1:5" x14ac:dyDescent="0.4">
      <c r="A134" s="163" t="s">
        <v>128</v>
      </c>
      <c r="B134" s="82" t="s">
        <v>1</v>
      </c>
      <c r="C134" s="82" t="s">
        <v>2</v>
      </c>
      <c r="D134" s="82" t="s">
        <v>3</v>
      </c>
      <c r="E134" s="83"/>
    </row>
    <row r="135" spans="1:5" x14ac:dyDescent="0.4">
      <c r="A135" s="164"/>
      <c r="B135" s="85">
        <f>SUM(B3:B113)</f>
        <v>43078</v>
      </c>
      <c r="C135" s="85">
        <f>SUM(C3:C113)</f>
        <v>43408</v>
      </c>
      <c r="D135" s="85">
        <f>B135+C135</f>
        <v>86486</v>
      </c>
      <c r="E135" s="83"/>
    </row>
    <row r="137" spans="1:5" x14ac:dyDescent="0.4">
      <c r="A137" s="80" t="s">
        <v>129</v>
      </c>
    </row>
  </sheetData>
  <mergeCells count="2">
    <mergeCell ref="A1:E1"/>
    <mergeCell ref="A134:A135"/>
  </mergeCells>
  <phoneticPr fontId="16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7"/>
  <sheetViews>
    <sheetView tabSelected="1" topLeftCell="A106" workbookViewId="0">
      <selection activeCell="G111" sqref="G111"/>
    </sheetView>
  </sheetViews>
  <sheetFormatPr defaultRowHeight="18.75" x14ac:dyDescent="0.4"/>
  <cols>
    <col min="1" max="6" width="9" style="93"/>
    <col min="7" max="7" width="35.125" style="93" bestFit="1" customWidth="1"/>
    <col min="8" max="16384" width="9" style="93"/>
  </cols>
  <sheetData>
    <row r="1" spans="1:7" ht="19.5" x14ac:dyDescent="0.4">
      <c r="A1" s="165" t="str">
        <f>HLOOKUP("基準日",[9]データ貼り付けシート!$1:$2,2,FALSE)</f>
        <v>令和元年 9月30日</v>
      </c>
      <c r="B1" s="165"/>
      <c r="C1" s="165"/>
      <c r="D1" s="165"/>
      <c r="E1" s="165"/>
      <c r="G1" s="94"/>
    </row>
    <row r="2" spans="1:7" x14ac:dyDescent="0.4">
      <c r="A2" s="95" t="s">
        <v>0</v>
      </c>
      <c r="B2" s="95" t="s">
        <v>1</v>
      </c>
      <c r="C2" s="95" t="s">
        <v>2</v>
      </c>
      <c r="D2" s="95" t="s">
        <v>3</v>
      </c>
      <c r="E2" s="96"/>
    </row>
    <row r="3" spans="1:7" x14ac:dyDescent="0.4">
      <c r="A3" s="97" t="s">
        <v>4</v>
      </c>
      <c r="B3" s="98">
        <f>HLOOKUP(SUBSTITUTE(CONCATENATE(SUBSTITUTE(SUBSTITUTE(A3,"歳","")," ",""),"_男")," ",""),[9]データ貼り付けシート!$1:$2,2,FALSE)</f>
        <v>406</v>
      </c>
      <c r="C3" s="98">
        <f>HLOOKUP(SUBSTITUTE(CONCATENATE(SUBSTITUTE(SUBSTITUTE(A3,"歳","")," ",""),"_女")," ",""),[9]データ貼り付けシート!$1:$2,2,FALSE)</f>
        <v>364</v>
      </c>
      <c r="D3" s="98">
        <f>HLOOKUP(SUBSTITUTE(CONCATENATE(SUBSTITUTE(SUBSTITUTE(A3,"歳","")," ",""),"_全体")," ",""),[9]データ貼り付けシート!$1:$2,2,FALSE)</f>
        <v>770</v>
      </c>
      <c r="E3" s="96"/>
    </row>
    <row r="4" spans="1:7" x14ac:dyDescent="0.4">
      <c r="A4" s="97" t="s">
        <v>5</v>
      </c>
      <c r="B4" s="98">
        <f>HLOOKUP(SUBSTITUTE(CONCATENATE(SUBSTITUTE(SUBSTITUTE(A4,"歳","")," ",""),"_男")," ",""),[9]データ貼り付けシート!$1:$2,2,FALSE)</f>
        <v>405</v>
      </c>
      <c r="C4" s="98">
        <f>HLOOKUP(SUBSTITUTE(CONCATENATE(SUBSTITUTE(SUBSTITUTE(A4,"歳","")," ",""),"_女")," ",""),[9]データ貼り付けシート!$1:$2,2,FALSE)</f>
        <v>429</v>
      </c>
      <c r="D4" s="98">
        <f>HLOOKUP(SUBSTITUTE(CONCATENATE(SUBSTITUTE(SUBSTITUTE(A4,"歳","")," ",""),"_全体")," ",""),[9]データ貼り付けシート!$1:$2,2,FALSE)</f>
        <v>834</v>
      </c>
      <c r="E4" s="96"/>
    </row>
    <row r="5" spans="1:7" x14ac:dyDescent="0.4">
      <c r="A5" s="97" t="s">
        <v>6</v>
      </c>
      <c r="B5" s="98">
        <f>HLOOKUP(SUBSTITUTE(CONCATENATE(SUBSTITUTE(SUBSTITUTE(A5,"歳","")," ",""),"_男")," ",""),[9]データ貼り付けシート!$1:$2,2,FALSE)</f>
        <v>392</v>
      </c>
      <c r="C5" s="98">
        <f>HLOOKUP(SUBSTITUTE(CONCATENATE(SUBSTITUTE(SUBSTITUTE(A5,"歳","")," ",""),"_女")," ",""),[9]データ貼り付けシート!$1:$2,2,FALSE)</f>
        <v>339</v>
      </c>
      <c r="D5" s="98">
        <f>HLOOKUP(SUBSTITUTE(CONCATENATE(SUBSTITUTE(SUBSTITUTE(A5,"歳","")," ",""),"_全体")," ",""),[9]データ貼り付けシート!$1:$2,2,FALSE)</f>
        <v>731</v>
      </c>
      <c r="E5" s="96"/>
    </row>
    <row r="6" spans="1:7" x14ac:dyDescent="0.4">
      <c r="A6" s="97" t="s">
        <v>7</v>
      </c>
      <c r="B6" s="98">
        <f>HLOOKUP(SUBSTITUTE(CONCATENATE(SUBSTITUTE(SUBSTITUTE(A6,"歳","")," ",""),"_男")," ",""),[9]データ貼り付けシート!$1:$2,2,FALSE)</f>
        <v>415</v>
      </c>
      <c r="C6" s="98">
        <f>HLOOKUP(SUBSTITUTE(CONCATENATE(SUBSTITUTE(SUBSTITUTE(A6,"歳","")," ",""),"_女")," ",""),[9]データ貼り付けシート!$1:$2,2,FALSE)</f>
        <v>374</v>
      </c>
      <c r="D6" s="98">
        <f>HLOOKUP(SUBSTITUTE(CONCATENATE(SUBSTITUTE(SUBSTITUTE(A6,"歳","")," ",""),"_全体")," ",""),[9]データ貼り付けシート!$1:$2,2,FALSE)</f>
        <v>789</v>
      </c>
      <c r="E6" s="96"/>
    </row>
    <row r="7" spans="1:7" x14ac:dyDescent="0.4">
      <c r="A7" s="97" t="s">
        <v>8</v>
      </c>
      <c r="B7" s="98">
        <f>HLOOKUP(SUBSTITUTE(CONCATENATE(SUBSTITUTE(SUBSTITUTE(A7,"歳","")," ",""),"_男")," ",""),[9]データ貼り付けシート!$1:$2,2,FALSE)</f>
        <v>369</v>
      </c>
      <c r="C7" s="98">
        <f>HLOOKUP(SUBSTITUTE(CONCATENATE(SUBSTITUTE(SUBSTITUTE(A7,"歳","")," ",""),"_女")," ",""),[9]データ貼り付けシート!$1:$2,2,FALSE)</f>
        <v>361</v>
      </c>
      <c r="D7" s="98">
        <f>HLOOKUP(SUBSTITUTE(CONCATENATE(SUBSTITUTE(SUBSTITUTE(A7,"歳","")," ",""),"_全体")," ",""),[9]データ貼り付けシート!$1:$2,2,FALSE)</f>
        <v>730</v>
      </c>
      <c r="E7" s="96"/>
    </row>
    <row r="8" spans="1:7" x14ac:dyDescent="0.4">
      <c r="A8" s="97" t="s">
        <v>9</v>
      </c>
      <c r="B8" s="98">
        <f>HLOOKUP(SUBSTITUTE(CONCATENATE(SUBSTITUTE(SUBSTITUTE(A8,"歳","")," ",""),"_男")," ",""),[9]データ貼り付けシート!$1:$2,2,FALSE)</f>
        <v>377</v>
      </c>
      <c r="C8" s="98">
        <f>HLOOKUP(SUBSTITUTE(CONCATENATE(SUBSTITUTE(SUBSTITUTE(A8,"歳","")," ",""),"_女")," ",""),[9]データ貼り付けシート!$1:$2,2,FALSE)</f>
        <v>391</v>
      </c>
      <c r="D8" s="98">
        <f>HLOOKUP(SUBSTITUTE(CONCATENATE(SUBSTITUTE(SUBSTITUTE(A8,"歳","")," ",""),"_全体")," ",""),[9]データ貼り付けシート!$1:$2,2,FALSE)</f>
        <v>768</v>
      </c>
      <c r="E8" s="96"/>
    </row>
    <row r="9" spans="1:7" x14ac:dyDescent="0.4">
      <c r="A9" s="97" t="s">
        <v>10</v>
      </c>
      <c r="B9" s="98">
        <f>HLOOKUP(SUBSTITUTE(CONCATENATE(SUBSTITUTE(SUBSTITUTE(A9,"歳","")," ",""),"_男")," ",""),[9]データ貼り付けシート!$1:$2,2,FALSE)</f>
        <v>370</v>
      </c>
      <c r="C9" s="98">
        <f>HLOOKUP(SUBSTITUTE(CONCATENATE(SUBSTITUTE(SUBSTITUTE(A9,"歳","")," ",""),"_女")," ",""),[9]データ貼り付けシート!$1:$2,2,FALSE)</f>
        <v>302</v>
      </c>
      <c r="D9" s="98">
        <f>HLOOKUP(SUBSTITUTE(CONCATENATE(SUBSTITUTE(SUBSTITUTE(A9,"歳","")," ",""),"_全体")," ",""),[9]データ貼り付けシート!$1:$2,2,FALSE)</f>
        <v>672</v>
      </c>
      <c r="E9" s="96"/>
    </row>
    <row r="10" spans="1:7" x14ac:dyDescent="0.4">
      <c r="A10" s="97" t="s">
        <v>11</v>
      </c>
      <c r="B10" s="98">
        <f>HLOOKUP(SUBSTITUTE(CONCATENATE(SUBSTITUTE(SUBSTITUTE(A10,"歳","")," ",""),"_男")," ",""),[9]データ貼り付けシート!$1:$2,2,FALSE)</f>
        <v>354</v>
      </c>
      <c r="C10" s="98">
        <f>HLOOKUP(SUBSTITUTE(CONCATENATE(SUBSTITUTE(SUBSTITUTE(A10,"歳","")," ",""),"_女")," ",""),[9]データ貼り付けシート!$1:$2,2,FALSE)</f>
        <v>370</v>
      </c>
      <c r="D10" s="98">
        <f>HLOOKUP(SUBSTITUTE(CONCATENATE(SUBSTITUTE(SUBSTITUTE(A10,"歳","")," ",""),"_全体")," ",""),[9]データ貼り付けシート!$1:$2,2,FALSE)</f>
        <v>724</v>
      </c>
      <c r="E10" s="96"/>
    </row>
    <row r="11" spans="1:7" x14ac:dyDescent="0.4">
      <c r="A11" s="97" t="s">
        <v>12</v>
      </c>
      <c r="B11" s="98">
        <f>HLOOKUP(SUBSTITUTE(CONCATENATE(SUBSTITUTE(SUBSTITUTE(A11,"歳","")," ",""),"_男")," ",""),[9]データ貼り付けシート!$1:$2,2,FALSE)</f>
        <v>358</v>
      </c>
      <c r="C11" s="98">
        <f>HLOOKUP(SUBSTITUTE(CONCATENATE(SUBSTITUTE(SUBSTITUTE(A11,"歳","")," ",""),"_女")," ",""),[9]データ貼り付けシート!$1:$2,2,FALSE)</f>
        <v>347</v>
      </c>
      <c r="D11" s="98">
        <f>HLOOKUP(SUBSTITUTE(CONCATENATE(SUBSTITUTE(SUBSTITUTE(A11,"歳","")," ",""),"_全体")," ",""),[9]データ貼り付けシート!$1:$2,2,FALSE)</f>
        <v>705</v>
      </c>
      <c r="E11" s="96"/>
    </row>
    <row r="12" spans="1:7" x14ac:dyDescent="0.4">
      <c r="A12" s="97" t="s">
        <v>13</v>
      </c>
      <c r="B12" s="98">
        <f>HLOOKUP(SUBSTITUTE(CONCATENATE(SUBSTITUTE(SUBSTITUTE(A12,"歳","")," ",""),"_男")," ",""),[9]データ貼り付けシート!$1:$2,2,FALSE)</f>
        <v>391</v>
      </c>
      <c r="C12" s="98">
        <f>HLOOKUP(SUBSTITUTE(CONCATENATE(SUBSTITUTE(SUBSTITUTE(A12,"歳","")," ",""),"_女")," ",""),[9]データ貼り付けシート!$1:$2,2,FALSE)</f>
        <v>374</v>
      </c>
      <c r="D12" s="98">
        <f>HLOOKUP(SUBSTITUTE(CONCATENATE(SUBSTITUTE(SUBSTITUTE(A12,"歳","")," ",""),"_全体")," ",""),[9]データ貼り付けシート!$1:$2,2,FALSE)</f>
        <v>765</v>
      </c>
      <c r="E12" s="96"/>
    </row>
    <row r="13" spans="1:7" x14ac:dyDescent="0.4">
      <c r="A13" s="97" t="s">
        <v>14</v>
      </c>
      <c r="B13" s="98">
        <f>HLOOKUP(SUBSTITUTE(CONCATENATE(SUBSTITUTE(SUBSTITUTE(A13,"歳","")," ",""),"_男")," ",""),[9]データ貼り付けシート!$1:$2,2,FALSE)</f>
        <v>384</v>
      </c>
      <c r="C13" s="98">
        <f>HLOOKUP(SUBSTITUTE(CONCATENATE(SUBSTITUTE(SUBSTITUTE(A13,"歳","")," ",""),"_女")," ",""),[9]データ貼り付けシート!$1:$2,2,FALSE)</f>
        <v>346</v>
      </c>
      <c r="D13" s="98">
        <f>HLOOKUP(SUBSTITUTE(CONCATENATE(SUBSTITUTE(SUBSTITUTE(A13,"歳","")," ",""),"_全体")," ",""),[9]データ貼り付けシート!$1:$2,2,FALSE)</f>
        <v>730</v>
      </c>
      <c r="E13" s="96"/>
    </row>
    <row r="14" spans="1:7" x14ac:dyDescent="0.4">
      <c r="A14" s="97" t="s">
        <v>15</v>
      </c>
      <c r="B14" s="98">
        <f>HLOOKUP(SUBSTITUTE(CONCATENATE(SUBSTITUTE(SUBSTITUTE(A14,"歳","")," ",""),"_男")," ",""),[9]データ貼り付けシート!$1:$2,2,FALSE)</f>
        <v>331</v>
      </c>
      <c r="C14" s="98">
        <f>HLOOKUP(SUBSTITUTE(CONCATENATE(SUBSTITUTE(SUBSTITUTE(A14,"歳","")," ",""),"_女")," ",""),[9]データ貼り付けシート!$1:$2,2,FALSE)</f>
        <v>354</v>
      </c>
      <c r="D14" s="98">
        <f>HLOOKUP(SUBSTITUTE(CONCATENATE(SUBSTITUTE(SUBSTITUTE(A14,"歳","")," ",""),"_全体")," ",""),[9]データ貼り付けシート!$1:$2,2,FALSE)</f>
        <v>685</v>
      </c>
      <c r="E14" s="96"/>
    </row>
    <row r="15" spans="1:7" x14ac:dyDescent="0.4">
      <c r="A15" s="97" t="s">
        <v>16</v>
      </c>
      <c r="B15" s="98">
        <f>HLOOKUP(SUBSTITUTE(CONCATENATE(SUBSTITUTE(SUBSTITUTE(A15,"歳","")," ",""),"_男")," ",""),[9]データ貼り付けシート!$1:$2,2,FALSE)</f>
        <v>381</v>
      </c>
      <c r="C15" s="98">
        <f>HLOOKUP(SUBSTITUTE(CONCATENATE(SUBSTITUTE(SUBSTITUTE(A15,"歳","")," ",""),"_女")," ",""),[9]データ貼り付けシート!$1:$2,2,FALSE)</f>
        <v>372</v>
      </c>
      <c r="D15" s="98">
        <f>HLOOKUP(SUBSTITUTE(CONCATENATE(SUBSTITUTE(SUBSTITUTE(A15,"歳","")," ",""),"_全体")," ",""),[9]データ貼り付けシート!$1:$2,2,FALSE)</f>
        <v>753</v>
      </c>
      <c r="E15" s="96"/>
    </row>
    <row r="16" spans="1:7" x14ac:dyDescent="0.4">
      <c r="A16" s="97" t="s">
        <v>17</v>
      </c>
      <c r="B16" s="98">
        <f>HLOOKUP(SUBSTITUTE(CONCATENATE(SUBSTITUTE(SUBSTITUTE(A16,"歳","")," ",""),"_男")," ",""),[9]データ貼り付けシート!$1:$2,2,FALSE)</f>
        <v>382</v>
      </c>
      <c r="C16" s="98">
        <f>HLOOKUP(SUBSTITUTE(CONCATENATE(SUBSTITUTE(SUBSTITUTE(A16,"歳","")," ",""),"_女")," ",""),[9]データ貼り付けシート!$1:$2,2,FALSE)</f>
        <v>349</v>
      </c>
      <c r="D16" s="98">
        <f>HLOOKUP(SUBSTITUTE(CONCATENATE(SUBSTITUTE(SUBSTITUTE(A16,"歳","")," ",""),"_全体")," ",""),[9]データ貼り付けシート!$1:$2,2,FALSE)</f>
        <v>731</v>
      </c>
      <c r="E16" s="96"/>
    </row>
    <row r="17" spans="1:5" x14ac:dyDescent="0.4">
      <c r="A17" s="97" t="s">
        <v>18</v>
      </c>
      <c r="B17" s="98">
        <f>HLOOKUP(SUBSTITUTE(CONCATENATE(SUBSTITUTE(SUBSTITUTE(A17,"歳","")," ",""),"_男")," ",""),[9]データ貼り付けシート!$1:$2,2,FALSE)</f>
        <v>414</v>
      </c>
      <c r="C17" s="98">
        <f>HLOOKUP(SUBSTITUTE(CONCATENATE(SUBSTITUTE(SUBSTITUTE(A17,"歳","")," ",""),"_女")," ",""),[9]データ貼り付けシート!$1:$2,2,FALSE)</f>
        <v>374</v>
      </c>
      <c r="D17" s="98">
        <f>HLOOKUP(SUBSTITUTE(CONCATENATE(SUBSTITUTE(SUBSTITUTE(A17,"歳","")," ",""),"_全体")," ",""),[9]データ貼り付けシート!$1:$2,2,FALSE)</f>
        <v>788</v>
      </c>
      <c r="E17" s="96"/>
    </row>
    <row r="18" spans="1:5" x14ac:dyDescent="0.4">
      <c r="A18" s="97" t="s">
        <v>19</v>
      </c>
      <c r="B18" s="98">
        <f>HLOOKUP(SUBSTITUTE(CONCATENATE(SUBSTITUTE(SUBSTITUTE(A18,"歳","")," ",""),"_男")," ",""),[9]データ貼り付けシート!$1:$2,2,FALSE)</f>
        <v>396</v>
      </c>
      <c r="C18" s="98">
        <f>HLOOKUP(SUBSTITUTE(CONCATENATE(SUBSTITUTE(SUBSTITUTE(A18,"歳","")," ",""),"_女")," ",""),[9]データ貼り付けシート!$1:$2,2,FALSE)</f>
        <v>367</v>
      </c>
      <c r="D18" s="98">
        <f>HLOOKUP(SUBSTITUTE(CONCATENATE(SUBSTITUTE(SUBSTITUTE(A18,"歳","")," ",""),"_全体")," ",""),[9]データ貼り付けシート!$1:$2,2,FALSE)</f>
        <v>763</v>
      </c>
      <c r="E18" s="96"/>
    </row>
    <row r="19" spans="1:5" x14ac:dyDescent="0.4">
      <c r="A19" s="97" t="s">
        <v>20</v>
      </c>
      <c r="B19" s="98">
        <f>HLOOKUP(SUBSTITUTE(CONCATENATE(SUBSTITUTE(SUBSTITUTE(A19,"歳","")," ",""),"_男")," ",""),[9]データ貼り付けシート!$1:$2,2,FALSE)</f>
        <v>362</v>
      </c>
      <c r="C19" s="98">
        <f>HLOOKUP(SUBSTITUTE(CONCATENATE(SUBSTITUTE(SUBSTITUTE(A19,"歳","")," ",""),"_女")," ",""),[9]データ貼り付けシート!$1:$2,2,FALSE)</f>
        <v>369</v>
      </c>
      <c r="D19" s="98">
        <f>HLOOKUP(SUBSTITUTE(CONCATENATE(SUBSTITUTE(SUBSTITUTE(A19,"歳","")," ",""),"_全体")," ",""),[9]データ貼り付けシート!$1:$2,2,FALSE)</f>
        <v>731</v>
      </c>
      <c r="E19" s="96"/>
    </row>
    <row r="20" spans="1:5" x14ac:dyDescent="0.4">
      <c r="A20" s="97" t="s">
        <v>21</v>
      </c>
      <c r="B20" s="98">
        <f>HLOOKUP(SUBSTITUTE(CONCATENATE(SUBSTITUTE(SUBSTITUTE(A20,"歳","")," ",""),"_男")," ",""),[9]データ貼り付けシート!$1:$2,2,FALSE)</f>
        <v>411</v>
      </c>
      <c r="C20" s="98">
        <f>HLOOKUP(SUBSTITUTE(CONCATENATE(SUBSTITUTE(SUBSTITUTE(A20,"歳","")," ",""),"_女")," ",""),[9]データ貼り付けシート!$1:$2,2,FALSE)</f>
        <v>404</v>
      </c>
      <c r="D20" s="98">
        <f>HLOOKUP(SUBSTITUTE(CONCATENATE(SUBSTITUTE(SUBSTITUTE(A20,"歳","")," ",""),"_全体")," ",""),[9]データ貼り付けシート!$1:$2,2,FALSE)</f>
        <v>815</v>
      </c>
      <c r="E20" s="96"/>
    </row>
    <row r="21" spans="1:5" x14ac:dyDescent="0.4">
      <c r="A21" s="97" t="s">
        <v>22</v>
      </c>
      <c r="B21" s="98">
        <f>HLOOKUP(SUBSTITUTE(CONCATENATE(SUBSTITUTE(SUBSTITUTE(A21,"歳","")," ",""),"_男")," ",""),[9]データ貼り付けシート!$1:$2,2,FALSE)</f>
        <v>440</v>
      </c>
      <c r="C21" s="98">
        <f>HLOOKUP(SUBSTITUTE(CONCATENATE(SUBSTITUTE(SUBSTITUTE(A21,"歳","")," ",""),"_女")," ",""),[9]データ貼り付けシート!$1:$2,2,FALSE)</f>
        <v>372</v>
      </c>
      <c r="D21" s="98">
        <f>HLOOKUP(SUBSTITUTE(CONCATENATE(SUBSTITUTE(SUBSTITUTE(A21,"歳","")," ",""),"_全体")," ",""),[9]データ貼り付けシート!$1:$2,2,FALSE)</f>
        <v>812</v>
      </c>
      <c r="E21" s="96"/>
    </row>
    <row r="22" spans="1:5" x14ac:dyDescent="0.4">
      <c r="A22" s="97" t="s">
        <v>23</v>
      </c>
      <c r="B22" s="98">
        <f>HLOOKUP(SUBSTITUTE(CONCATENATE(SUBSTITUTE(SUBSTITUTE(A22,"歳","")," ",""),"_男")," ",""),[9]データ貼り付けシート!$1:$2,2,FALSE)</f>
        <v>467</v>
      </c>
      <c r="C22" s="98">
        <f>HLOOKUP(SUBSTITUTE(CONCATENATE(SUBSTITUTE(SUBSTITUTE(A22,"歳","")," ",""),"_女")," ",""),[9]データ貼り付けシート!$1:$2,2,FALSE)</f>
        <v>441</v>
      </c>
      <c r="D22" s="98">
        <f>HLOOKUP(SUBSTITUTE(CONCATENATE(SUBSTITUTE(SUBSTITUTE(A22,"歳","")," ",""),"_全体")," ",""),[9]データ貼り付けシート!$1:$2,2,FALSE)</f>
        <v>908</v>
      </c>
      <c r="E22" s="96"/>
    </row>
    <row r="23" spans="1:5" x14ac:dyDescent="0.4">
      <c r="A23" s="97" t="s">
        <v>24</v>
      </c>
      <c r="B23" s="98">
        <f>HLOOKUP(SUBSTITUTE(CONCATENATE(SUBSTITUTE(SUBSTITUTE(A23,"歳","")," ",""),"_男")," ",""),[9]データ貼り付けシート!$1:$2,2,FALSE)</f>
        <v>479</v>
      </c>
      <c r="C23" s="98">
        <f>HLOOKUP(SUBSTITUTE(CONCATENATE(SUBSTITUTE(SUBSTITUTE(A23,"歳","")," ",""),"_女")," ",""),[9]データ貼り付けシート!$1:$2,2,FALSE)</f>
        <v>434</v>
      </c>
      <c r="D23" s="98">
        <f>HLOOKUP(SUBSTITUTE(CONCATENATE(SUBSTITUTE(SUBSTITUTE(A23,"歳","")," ",""),"_全体")," ",""),[9]データ貼り付けシート!$1:$2,2,FALSE)</f>
        <v>913</v>
      </c>
      <c r="E23" s="96"/>
    </row>
    <row r="24" spans="1:5" x14ac:dyDescent="0.4">
      <c r="A24" s="97" t="s">
        <v>25</v>
      </c>
      <c r="B24" s="98">
        <f>HLOOKUP(SUBSTITUTE(CONCATENATE(SUBSTITUTE(SUBSTITUTE(A24,"歳","")," ",""),"_男")," ",""),[9]データ貼り付けシート!$1:$2,2,FALSE)</f>
        <v>469</v>
      </c>
      <c r="C24" s="98">
        <f>HLOOKUP(SUBSTITUTE(CONCATENATE(SUBSTITUTE(SUBSTITUTE(A24,"歳","")," ",""),"_女")," ",""),[9]データ貼り付けシート!$1:$2,2,FALSE)</f>
        <v>421</v>
      </c>
      <c r="D24" s="98">
        <f>HLOOKUP(SUBSTITUTE(CONCATENATE(SUBSTITUTE(SUBSTITUTE(A24,"歳","")," ",""),"_全体")," ",""),[9]データ貼り付けシート!$1:$2,2,FALSE)</f>
        <v>890</v>
      </c>
      <c r="E24" s="96"/>
    </row>
    <row r="25" spans="1:5" x14ac:dyDescent="0.4">
      <c r="A25" s="97" t="s">
        <v>26</v>
      </c>
      <c r="B25" s="98">
        <f>HLOOKUP(SUBSTITUTE(CONCATENATE(SUBSTITUTE(SUBSTITUTE(A25,"歳","")," ",""),"_男")," ",""),[9]データ貼り付けシート!$1:$2,2,FALSE)</f>
        <v>494</v>
      </c>
      <c r="C25" s="98">
        <f>HLOOKUP(SUBSTITUTE(CONCATENATE(SUBSTITUTE(SUBSTITUTE(A25,"歳","")," ",""),"_女")," ",""),[9]データ貼り付けシート!$1:$2,2,FALSE)</f>
        <v>473</v>
      </c>
      <c r="D25" s="98">
        <f>HLOOKUP(SUBSTITUTE(CONCATENATE(SUBSTITUTE(SUBSTITUTE(A25,"歳","")," ",""),"_全体")," ",""),[9]データ貼り付けシート!$1:$2,2,FALSE)</f>
        <v>967</v>
      </c>
      <c r="E25" s="96"/>
    </row>
    <row r="26" spans="1:5" x14ac:dyDescent="0.4">
      <c r="A26" s="97" t="s">
        <v>27</v>
      </c>
      <c r="B26" s="98">
        <f>HLOOKUP(SUBSTITUTE(CONCATENATE(SUBSTITUTE(SUBSTITUTE(A26,"歳","")," ",""),"_男")," ",""),[9]データ貼り付けシート!$1:$2,2,FALSE)</f>
        <v>508</v>
      </c>
      <c r="C26" s="98">
        <f>HLOOKUP(SUBSTITUTE(CONCATENATE(SUBSTITUTE(SUBSTITUTE(A26,"歳","")," ",""),"_女")," ",""),[9]データ貼り付けシート!$1:$2,2,FALSE)</f>
        <v>465</v>
      </c>
      <c r="D26" s="98">
        <f>HLOOKUP(SUBSTITUTE(CONCATENATE(SUBSTITUTE(SUBSTITUTE(A26,"歳","")," ",""),"_全体")," ",""),[9]データ貼り付けシート!$1:$2,2,FALSE)</f>
        <v>973</v>
      </c>
      <c r="E26" s="96"/>
    </row>
    <row r="27" spans="1:5" x14ac:dyDescent="0.4">
      <c r="A27" s="97" t="s">
        <v>28</v>
      </c>
      <c r="B27" s="98">
        <f>HLOOKUP(SUBSTITUTE(CONCATENATE(SUBSTITUTE(SUBSTITUTE(A27,"歳","")," ",""),"_男")," ",""),[9]データ貼り付けシート!$1:$2,2,FALSE)</f>
        <v>483</v>
      </c>
      <c r="C27" s="98">
        <f>HLOOKUP(SUBSTITUTE(CONCATENATE(SUBSTITUTE(SUBSTITUTE(A27,"歳","")," ",""),"_女")," ",""),[9]データ貼り付けシート!$1:$2,2,FALSE)</f>
        <v>425</v>
      </c>
      <c r="D27" s="98">
        <f>HLOOKUP(SUBSTITUTE(CONCATENATE(SUBSTITUTE(SUBSTITUTE(A27,"歳","")," ",""),"_全体")," ",""),[9]データ貼り付けシート!$1:$2,2,FALSE)</f>
        <v>908</v>
      </c>
      <c r="E27" s="96"/>
    </row>
    <row r="28" spans="1:5" x14ac:dyDescent="0.4">
      <c r="A28" s="97" t="s">
        <v>29</v>
      </c>
      <c r="B28" s="98">
        <f>HLOOKUP(SUBSTITUTE(CONCATENATE(SUBSTITUTE(SUBSTITUTE(A28,"歳","")," ",""),"_男")," ",""),[9]データ貼り付けシート!$1:$2,2,FALSE)</f>
        <v>519</v>
      </c>
      <c r="C28" s="98">
        <f>HLOOKUP(SUBSTITUTE(CONCATENATE(SUBSTITUTE(SUBSTITUTE(A28,"歳","")," ",""),"_女")," ",""),[9]データ貼り付けシート!$1:$2,2,FALSE)</f>
        <v>441</v>
      </c>
      <c r="D28" s="98">
        <f>HLOOKUP(SUBSTITUTE(CONCATENATE(SUBSTITUTE(SUBSTITUTE(A28,"歳","")," ",""),"_全体")," ",""),[9]データ貼り付けシート!$1:$2,2,FALSE)</f>
        <v>960</v>
      </c>
      <c r="E28" s="96"/>
    </row>
    <row r="29" spans="1:5" x14ac:dyDescent="0.4">
      <c r="A29" s="97" t="s">
        <v>30</v>
      </c>
      <c r="B29" s="98">
        <f>HLOOKUP(SUBSTITUTE(CONCATENATE(SUBSTITUTE(SUBSTITUTE(A29,"歳","")," ",""),"_男")," ",""),[9]データ貼り付けシート!$1:$2,2,FALSE)</f>
        <v>539</v>
      </c>
      <c r="C29" s="98">
        <f>HLOOKUP(SUBSTITUTE(CONCATENATE(SUBSTITUTE(SUBSTITUTE(A29,"歳","")," ",""),"_女")," ",""),[9]データ貼り付けシート!$1:$2,2,FALSE)</f>
        <v>474</v>
      </c>
      <c r="D29" s="98">
        <f>HLOOKUP(SUBSTITUTE(CONCATENATE(SUBSTITUTE(SUBSTITUTE(A29,"歳","")," ",""),"_全体")," ",""),[9]データ貼り付けシート!$1:$2,2,FALSE)</f>
        <v>1013</v>
      </c>
      <c r="E29" s="96"/>
    </row>
    <row r="30" spans="1:5" x14ac:dyDescent="0.4">
      <c r="A30" s="97" t="s">
        <v>31</v>
      </c>
      <c r="B30" s="98">
        <f>HLOOKUP(SUBSTITUTE(CONCATENATE(SUBSTITUTE(SUBSTITUTE(A30,"歳","")," ",""),"_男")," ",""),[9]データ貼り付けシート!$1:$2,2,FALSE)</f>
        <v>483</v>
      </c>
      <c r="C30" s="98">
        <f>HLOOKUP(SUBSTITUTE(CONCATENATE(SUBSTITUTE(SUBSTITUTE(A30,"歳","")," ",""),"_女")," ",""),[9]データ貼り付けシート!$1:$2,2,FALSE)</f>
        <v>475</v>
      </c>
      <c r="D30" s="98">
        <f>HLOOKUP(SUBSTITUTE(CONCATENATE(SUBSTITUTE(SUBSTITUTE(A30,"歳","")," ",""),"_全体")," ",""),[9]データ貼り付けシート!$1:$2,2,FALSE)</f>
        <v>958</v>
      </c>
      <c r="E30" s="96"/>
    </row>
    <row r="31" spans="1:5" x14ac:dyDescent="0.4">
      <c r="A31" s="97" t="s">
        <v>32</v>
      </c>
      <c r="B31" s="98">
        <f>HLOOKUP(SUBSTITUTE(CONCATENATE(SUBSTITUTE(SUBSTITUTE(A31,"歳","")," ",""),"_男")," ",""),[9]データ貼り付けシート!$1:$2,2,FALSE)</f>
        <v>531</v>
      </c>
      <c r="C31" s="98">
        <f>HLOOKUP(SUBSTITUTE(CONCATENATE(SUBSTITUTE(SUBSTITUTE(A31,"歳","")," ",""),"_女")," ",""),[9]データ貼り付けシート!$1:$2,2,FALSE)</f>
        <v>524</v>
      </c>
      <c r="D31" s="98">
        <f>HLOOKUP(SUBSTITUTE(CONCATENATE(SUBSTITUTE(SUBSTITUTE(A31,"歳","")," ",""),"_全体")," ",""),[9]データ貼り付けシート!$1:$2,2,FALSE)</f>
        <v>1055</v>
      </c>
      <c r="E31" s="96"/>
    </row>
    <row r="32" spans="1:5" x14ac:dyDescent="0.4">
      <c r="A32" s="97" t="s">
        <v>33</v>
      </c>
      <c r="B32" s="98">
        <f>HLOOKUP(SUBSTITUTE(CONCATENATE(SUBSTITUTE(SUBSTITUTE(A32,"歳","")," ",""),"_男")," ",""),[9]データ貼り付けシート!$1:$2,2,FALSE)</f>
        <v>551</v>
      </c>
      <c r="C32" s="98">
        <f>HLOOKUP(SUBSTITUTE(CONCATENATE(SUBSTITUTE(SUBSTITUTE(A32,"歳","")," ",""),"_女")," ",""),[9]データ貼り付けシート!$1:$2,2,FALSE)</f>
        <v>545</v>
      </c>
      <c r="D32" s="98">
        <f>HLOOKUP(SUBSTITUTE(CONCATENATE(SUBSTITUTE(SUBSTITUTE(A32,"歳","")," ",""),"_全体")," ",""),[9]データ貼り付けシート!$1:$2,2,FALSE)</f>
        <v>1096</v>
      </c>
      <c r="E32" s="96"/>
    </row>
    <row r="33" spans="1:5" x14ac:dyDescent="0.4">
      <c r="A33" s="97" t="s">
        <v>34</v>
      </c>
      <c r="B33" s="98">
        <f>HLOOKUP(SUBSTITUTE(CONCATENATE(SUBSTITUTE(SUBSTITUTE(A33,"歳","")," ",""),"_男")," ",""),[9]データ貼り付けシート!$1:$2,2,FALSE)</f>
        <v>519</v>
      </c>
      <c r="C33" s="98">
        <f>HLOOKUP(SUBSTITUTE(CONCATENATE(SUBSTITUTE(SUBSTITUTE(A33,"歳","")," ",""),"_女")," ",""),[9]データ貼り付けシート!$1:$2,2,FALSE)</f>
        <v>504</v>
      </c>
      <c r="D33" s="98">
        <f>HLOOKUP(SUBSTITUTE(CONCATENATE(SUBSTITUTE(SUBSTITUTE(A33,"歳","")," ",""),"_全体")," ",""),[9]データ貼り付けシート!$1:$2,2,FALSE)</f>
        <v>1023</v>
      </c>
      <c r="E33" s="96"/>
    </row>
    <row r="34" spans="1:5" x14ac:dyDescent="0.4">
      <c r="A34" s="97" t="s">
        <v>35</v>
      </c>
      <c r="B34" s="98">
        <f>HLOOKUP(SUBSTITUTE(CONCATENATE(SUBSTITUTE(SUBSTITUTE(A34,"歳","")," ",""),"_男")," ",""),[9]データ貼り付けシート!$1:$2,2,FALSE)</f>
        <v>610</v>
      </c>
      <c r="C34" s="98">
        <f>HLOOKUP(SUBSTITUTE(CONCATENATE(SUBSTITUTE(SUBSTITUTE(A34,"歳","")," ",""),"_女")," ",""),[9]データ貼り付けシート!$1:$2,2,FALSE)</f>
        <v>541</v>
      </c>
      <c r="D34" s="98">
        <f>HLOOKUP(SUBSTITUTE(CONCATENATE(SUBSTITUTE(SUBSTITUTE(A34,"歳","")," ",""),"_全体")," ",""),[9]データ貼り付けシート!$1:$2,2,FALSE)</f>
        <v>1151</v>
      </c>
      <c r="E34" s="96"/>
    </row>
    <row r="35" spans="1:5" x14ac:dyDescent="0.4">
      <c r="A35" s="97" t="s">
        <v>36</v>
      </c>
      <c r="B35" s="98">
        <f>HLOOKUP(SUBSTITUTE(CONCATENATE(SUBSTITUTE(SUBSTITUTE(A35,"歳","")," ",""),"_男")," ",""),[9]データ貼り付けシート!$1:$2,2,FALSE)</f>
        <v>525</v>
      </c>
      <c r="C35" s="98">
        <f>HLOOKUP(SUBSTITUTE(CONCATENATE(SUBSTITUTE(SUBSTITUTE(A35,"歳","")," ",""),"_女")," ",""),[9]データ貼り付けシート!$1:$2,2,FALSE)</f>
        <v>552</v>
      </c>
      <c r="D35" s="98">
        <f>HLOOKUP(SUBSTITUTE(CONCATENATE(SUBSTITUTE(SUBSTITUTE(A35,"歳","")," ",""),"_全体")," ",""),[9]データ貼り付けシート!$1:$2,2,FALSE)</f>
        <v>1077</v>
      </c>
      <c r="E35" s="96"/>
    </row>
    <row r="36" spans="1:5" x14ac:dyDescent="0.4">
      <c r="A36" s="97" t="s">
        <v>37</v>
      </c>
      <c r="B36" s="98">
        <f>HLOOKUP(SUBSTITUTE(CONCATENATE(SUBSTITUTE(SUBSTITUTE(A36,"歳","")," ",""),"_男")," ",""),[9]データ貼り付けシート!$1:$2,2,FALSE)</f>
        <v>530</v>
      </c>
      <c r="C36" s="98">
        <f>HLOOKUP(SUBSTITUTE(CONCATENATE(SUBSTITUTE(SUBSTITUTE(A36,"歳","")," ",""),"_女")," ",""),[9]データ貼り付けシート!$1:$2,2,FALSE)</f>
        <v>520</v>
      </c>
      <c r="D36" s="98">
        <f>HLOOKUP(SUBSTITUTE(CONCATENATE(SUBSTITUTE(SUBSTITUTE(A36,"歳","")," ",""),"_全体")," ",""),[9]データ貼り付けシート!$1:$2,2,FALSE)</f>
        <v>1050</v>
      </c>
      <c r="E36" s="96"/>
    </row>
    <row r="37" spans="1:5" x14ac:dyDescent="0.4">
      <c r="A37" s="97" t="s">
        <v>38</v>
      </c>
      <c r="B37" s="98">
        <f>HLOOKUP(SUBSTITUTE(CONCATENATE(SUBSTITUTE(SUBSTITUTE(A37,"歳","")," ",""),"_男")," ",""),[9]データ貼り付けシート!$1:$2,2,FALSE)</f>
        <v>568</v>
      </c>
      <c r="C37" s="98">
        <f>HLOOKUP(SUBSTITUTE(CONCATENATE(SUBSTITUTE(SUBSTITUTE(A37,"歳","")," ",""),"_女")," ",""),[9]データ貼り付けシート!$1:$2,2,FALSE)</f>
        <v>515</v>
      </c>
      <c r="D37" s="98">
        <f>HLOOKUP(SUBSTITUTE(CONCATENATE(SUBSTITUTE(SUBSTITUTE(A37,"歳","")," ",""),"_全体")," ",""),[9]データ貼り付けシート!$1:$2,2,FALSE)</f>
        <v>1083</v>
      </c>
      <c r="E37" s="96"/>
    </row>
    <row r="38" spans="1:5" x14ac:dyDescent="0.4">
      <c r="A38" s="97" t="s">
        <v>39</v>
      </c>
      <c r="B38" s="98">
        <f>HLOOKUP(SUBSTITUTE(CONCATENATE(SUBSTITUTE(SUBSTITUTE(A38,"歳","")," ",""),"_男")," ",""),[9]データ貼り付けシート!$1:$2,2,FALSE)</f>
        <v>570</v>
      </c>
      <c r="C38" s="98">
        <f>HLOOKUP(SUBSTITUTE(CONCATENATE(SUBSTITUTE(SUBSTITUTE(A38,"歳","")," ",""),"_女")," ",""),[9]データ貼り付けシート!$1:$2,2,FALSE)</f>
        <v>518</v>
      </c>
      <c r="D38" s="98">
        <f>HLOOKUP(SUBSTITUTE(CONCATENATE(SUBSTITUTE(SUBSTITUTE(A38,"歳","")," ",""),"_全体")," ",""),[9]データ貼り付けシート!$1:$2,2,FALSE)</f>
        <v>1088</v>
      </c>
      <c r="E38" s="96"/>
    </row>
    <row r="39" spans="1:5" x14ac:dyDescent="0.4">
      <c r="A39" s="97" t="s">
        <v>40</v>
      </c>
      <c r="B39" s="98">
        <f>HLOOKUP(SUBSTITUTE(CONCATENATE(SUBSTITUTE(SUBSTITUTE(A39,"歳","")," ",""),"_男")," ",""),[9]データ貼り付けシート!$1:$2,2,FALSE)</f>
        <v>597</v>
      </c>
      <c r="C39" s="98">
        <f>HLOOKUP(SUBSTITUTE(CONCATENATE(SUBSTITUTE(SUBSTITUTE(A39,"歳","")," ",""),"_女")," ",""),[9]データ貼り付けシート!$1:$2,2,FALSE)</f>
        <v>557</v>
      </c>
      <c r="D39" s="98">
        <f>HLOOKUP(SUBSTITUTE(CONCATENATE(SUBSTITUTE(SUBSTITUTE(A39,"歳","")," ",""),"_全体")," ",""),[9]データ貼り付けシート!$1:$2,2,FALSE)</f>
        <v>1154</v>
      </c>
      <c r="E39" s="96"/>
    </row>
    <row r="40" spans="1:5" x14ac:dyDescent="0.4">
      <c r="A40" s="97" t="s">
        <v>41</v>
      </c>
      <c r="B40" s="98">
        <f>HLOOKUP(SUBSTITUTE(CONCATENATE(SUBSTITUTE(SUBSTITUTE(A40,"歳","")," ",""),"_男")," ",""),[9]データ貼り付けシート!$1:$2,2,FALSE)</f>
        <v>570</v>
      </c>
      <c r="C40" s="98">
        <f>HLOOKUP(SUBSTITUTE(CONCATENATE(SUBSTITUTE(SUBSTITUTE(A40,"歳","")," ",""),"_女")," ",""),[9]データ貼り付けシート!$1:$2,2,FALSE)</f>
        <v>568</v>
      </c>
      <c r="D40" s="98">
        <f>HLOOKUP(SUBSTITUTE(CONCATENATE(SUBSTITUTE(SUBSTITUTE(A40,"歳","")," ",""),"_全体")," ",""),[9]データ貼り付けシート!$1:$2,2,FALSE)</f>
        <v>1138</v>
      </c>
      <c r="E40" s="96"/>
    </row>
    <row r="41" spans="1:5" x14ac:dyDescent="0.4">
      <c r="A41" s="97" t="s">
        <v>42</v>
      </c>
      <c r="B41" s="98">
        <f>HLOOKUP(SUBSTITUTE(CONCATENATE(SUBSTITUTE(SUBSTITUTE(A41,"歳","")," ",""),"_男")," ",""),[9]データ貼り付けシート!$1:$2,2,FALSE)</f>
        <v>571</v>
      </c>
      <c r="C41" s="98">
        <f>HLOOKUP(SUBSTITUTE(CONCATENATE(SUBSTITUTE(SUBSTITUTE(A41,"歳","")," ",""),"_女")," ",""),[9]データ貼り付けシート!$1:$2,2,FALSE)</f>
        <v>533</v>
      </c>
      <c r="D41" s="98">
        <f>HLOOKUP(SUBSTITUTE(CONCATENATE(SUBSTITUTE(SUBSTITUTE(A41,"歳","")," ",""),"_全体")," ",""),[9]データ貼り付けシート!$1:$2,2,FALSE)</f>
        <v>1104</v>
      </c>
      <c r="E41" s="96"/>
    </row>
    <row r="42" spans="1:5" x14ac:dyDescent="0.4">
      <c r="A42" s="97" t="s">
        <v>43</v>
      </c>
      <c r="B42" s="98">
        <f>HLOOKUP(SUBSTITUTE(CONCATENATE(SUBSTITUTE(SUBSTITUTE(A42,"歳","")," ",""),"_男")," ",""),[9]データ貼り付けシート!$1:$2,2,FALSE)</f>
        <v>573</v>
      </c>
      <c r="C42" s="98">
        <f>HLOOKUP(SUBSTITUTE(CONCATENATE(SUBSTITUTE(SUBSTITUTE(A42,"歳","")," ",""),"_女")," ",""),[9]データ貼り付けシート!$1:$2,2,FALSE)</f>
        <v>546</v>
      </c>
      <c r="D42" s="98">
        <f>HLOOKUP(SUBSTITUTE(CONCATENATE(SUBSTITUTE(SUBSTITUTE(A42,"歳","")," ",""),"_全体")," ",""),[9]データ貼り付けシート!$1:$2,2,FALSE)</f>
        <v>1119</v>
      </c>
      <c r="E42" s="96"/>
    </row>
    <row r="43" spans="1:5" x14ac:dyDescent="0.4">
      <c r="A43" s="97" t="s">
        <v>44</v>
      </c>
      <c r="B43" s="98">
        <f>HLOOKUP(SUBSTITUTE(CONCATENATE(SUBSTITUTE(SUBSTITUTE(A43,"歳","")," ",""),"_男")," ",""),[9]データ貼り付けシート!$1:$2,2,FALSE)</f>
        <v>564</v>
      </c>
      <c r="C43" s="98">
        <f>HLOOKUP(SUBSTITUTE(CONCATENATE(SUBSTITUTE(SUBSTITUTE(A43,"歳","")," ",""),"_女")," ",""),[9]データ貼り付けシート!$1:$2,2,FALSE)</f>
        <v>560</v>
      </c>
      <c r="D43" s="98">
        <f>HLOOKUP(SUBSTITUTE(CONCATENATE(SUBSTITUTE(SUBSTITUTE(A43,"歳","")," ",""),"_全体")," ",""),[9]データ貼り付けシート!$1:$2,2,FALSE)</f>
        <v>1124</v>
      </c>
      <c r="E43" s="96"/>
    </row>
    <row r="44" spans="1:5" x14ac:dyDescent="0.4">
      <c r="A44" s="97" t="s">
        <v>45</v>
      </c>
      <c r="B44" s="98">
        <f>HLOOKUP(SUBSTITUTE(CONCATENATE(SUBSTITUTE(SUBSTITUTE(A44,"歳","")," ",""),"_男")," ",""),[9]データ貼り付けシート!$1:$2,2,FALSE)</f>
        <v>621</v>
      </c>
      <c r="C44" s="98">
        <f>HLOOKUP(SUBSTITUTE(CONCATENATE(SUBSTITUTE(SUBSTITUTE(A44,"歳","")," ",""),"_女")," ",""),[9]データ貼り付けシート!$1:$2,2,FALSE)</f>
        <v>580</v>
      </c>
      <c r="D44" s="98">
        <f>HLOOKUP(SUBSTITUTE(CONCATENATE(SUBSTITUTE(SUBSTITUTE(A44,"歳","")," ",""),"_全体")," ",""),[9]データ貼り付けシート!$1:$2,2,FALSE)</f>
        <v>1201</v>
      </c>
      <c r="E44" s="96"/>
    </row>
    <row r="45" spans="1:5" x14ac:dyDescent="0.4">
      <c r="A45" s="97" t="s">
        <v>46</v>
      </c>
      <c r="B45" s="98">
        <f>HLOOKUP(SUBSTITUTE(CONCATENATE(SUBSTITUTE(SUBSTITUTE(A45,"歳","")," ",""),"_男")," ",""),[9]データ貼り付けシート!$1:$2,2,FALSE)</f>
        <v>620</v>
      </c>
      <c r="C45" s="98">
        <f>HLOOKUP(SUBSTITUTE(CONCATENATE(SUBSTITUTE(SUBSTITUTE(A45,"歳","")," ",""),"_女")," ",""),[9]データ貼り付けシート!$1:$2,2,FALSE)</f>
        <v>583</v>
      </c>
      <c r="D45" s="98">
        <f>HLOOKUP(SUBSTITUTE(CONCATENATE(SUBSTITUTE(SUBSTITUTE(A45,"歳","")," ",""),"_全体")," ",""),[9]データ貼り付けシート!$1:$2,2,FALSE)</f>
        <v>1203</v>
      </c>
      <c r="E45" s="96"/>
    </row>
    <row r="46" spans="1:5" x14ac:dyDescent="0.4">
      <c r="A46" s="97" t="s">
        <v>47</v>
      </c>
      <c r="B46" s="98">
        <f>HLOOKUP(SUBSTITUTE(CONCATENATE(SUBSTITUTE(SUBSTITUTE(A46,"歳","")," ",""),"_男")," ",""),[9]データ貼り付けシート!$1:$2,2,FALSE)</f>
        <v>711</v>
      </c>
      <c r="C46" s="98">
        <f>HLOOKUP(SUBSTITUTE(CONCATENATE(SUBSTITUTE(SUBSTITUTE(A46,"歳","")," ",""),"_女")," ",""),[9]データ貼り付けシート!$1:$2,2,FALSE)</f>
        <v>642</v>
      </c>
      <c r="D46" s="98">
        <f>HLOOKUP(SUBSTITUTE(CONCATENATE(SUBSTITUTE(SUBSTITUTE(A46,"歳","")," ",""),"_全体")," ",""),[9]データ貼り付けシート!$1:$2,2,FALSE)</f>
        <v>1353</v>
      </c>
      <c r="E46" s="96"/>
    </row>
    <row r="47" spans="1:5" x14ac:dyDescent="0.4">
      <c r="A47" s="97" t="s">
        <v>48</v>
      </c>
      <c r="B47" s="98">
        <f>HLOOKUP(SUBSTITUTE(CONCATENATE(SUBSTITUTE(SUBSTITUTE(A47,"歳","")," ",""),"_男")," ",""),[9]データ貼り付けシート!$1:$2,2,FALSE)</f>
        <v>712</v>
      </c>
      <c r="C47" s="98">
        <f>HLOOKUP(SUBSTITUTE(CONCATENATE(SUBSTITUTE(SUBSTITUTE(A47,"歳","")," ",""),"_女")," ",""),[9]データ貼り付けシート!$1:$2,2,FALSE)</f>
        <v>669</v>
      </c>
      <c r="D47" s="98">
        <f>HLOOKUP(SUBSTITUTE(CONCATENATE(SUBSTITUTE(SUBSTITUTE(A47,"歳","")," ",""),"_全体")," ",""),[9]データ貼り付けシート!$1:$2,2,FALSE)</f>
        <v>1381</v>
      </c>
      <c r="E47" s="96"/>
    </row>
    <row r="48" spans="1:5" x14ac:dyDescent="0.4">
      <c r="A48" s="97" t="s">
        <v>49</v>
      </c>
      <c r="B48" s="98">
        <f>HLOOKUP(SUBSTITUTE(CONCATENATE(SUBSTITUTE(SUBSTITUTE(A48,"歳","")," ",""),"_男")," ",""),[9]データ貼り付けシート!$1:$2,2,FALSE)</f>
        <v>810</v>
      </c>
      <c r="C48" s="98">
        <f>HLOOKUP(SUBSTITUTE(CONCATENATE(SUBSTITUTE(SUBSTITUTE(A48,"歳","")," ",""),"_女")," ",""),[9]データ貼り付けシート!$1:$2,2,FALSE)</f>
        <v>730</v>
      </c>
      <c r="D48" s="98">
        <f>HLOOKUP(SUBSTITUTE(CONCATENATE(SUBSTITUTE(SUBSTITUTE(A48,"歳","")," ",""),"_全体")," ",""),[9]データ貼り付けシート!$1:$2,2,FALSE)</f>
        <v>1540</v>
      </c>
      <c r="E48" s="96"/>
    </row>
    <row r="49" spans="1:5" x14ac:dyDescent="0.4">
      <c r="A49" s="97" t="s">
        <v>50</v>
      </c>
      <c r="B49" s="98">
        <f>HLOOKUP(SUBSTITUTE(CONCATENATE(SUBSTITUTE(SUBSTITUTE(A49,"歳","")," ",""),"_男")," ",""),[9]データ貼り付けシート!$1:$2,2,FALSE)</f>
        <v>885</v>
      </c>
      <c r="C49" s="98">
        <f>HLOOKUP(SUBSTITUTE(CONCATENATE(SUBSTITUTE(SUBSTITUTE(A49,"歳","")," ",""),"_女")," ",""),[9]データ貼り付けシート!$1:$2,2,FALSE)</f>
        <v>760</v>
      </c>
      <c r="D49" s="98">
        <f>HLOOKUP(SUBSTITUTE(CONCATENATE(SUBSTITUTE(SUBSTITUTE(A49,"歳","")," ",""),"_全体")," ",""),[9]データ貼り付けシート!$1:$2,2,FALSE)</f>
        <v>1645</v>
      </c>
      <c r="E49" s="96"/>
    </row>
    <row r="50" spans="1:5" x14ac:dyDescent="0.4">
      <c r="A50" s="97" t="s">
        <v>51</v>
      </c>
      <c r="B50" s="98">
        <f>HLOOKUP(SUBSTITUTE(CONCATENATE(SUBSTITUTE(SUBSTITUTE(A50,"歳","")," ",""),"_男")," ",""),[9]データ貼り付けシート!$1:$2,2,FALSE)</f>
        <v>822</v>
      </c>
      <c r="C50" s="98">
        <f>HLOOKUP(SUBSTITUTE(CONCATENATE(SUBSTITUTE(SUBSTITUTE(A50,"歳","")," ",""),"_女")," ",""),[9]データ貼り付けシート!$1:$2,2,FALSE)</f>
        <v>770</v>
      </c>
      <c r="D50" s="98">
        <f>HLOOKUP(SUBSTITUTE(CONCATENATE(SUBSTITUTE(SUBSTITUTE(A50,"歳","")," ",""),"_全体")," ",""),[9]データ貼り付けシート!$1:$2,2,FALSE)</f>
        <v>1592</v>
      </c>
      <c r="E50" s="96"/>
    </row>
    <row r="51" spans="1:5" x14ac:dyDescent="0.4">
      <c r="A51" s="97" t="s">
        <v>52</v>
      </c>
      <c r="B51" s="98">
        <f>HLOOKUP(SUBSTITUTE(CONCATENATE(SUBSTITUTE(SUBSTITUTE(A51,"歳","")," ",""),"_男")," ",""),[9]データ貼り付けシート!$1:$2,2,FALSE)</f>
        <v>781</v>
      </c>
      <c r="C51" s="98">
        <f>HLOOKUP(SUBSTITUTE(CONCATENATE(SUBSTITUTE(SUBSTITUTE(A51,"歳","")," ",""),"_女")," ",""),[9]データ貼り付けシート!$1:$2,2,FALSE)</f>
        <v>710</v>
      </c>
      <c r="D51" s="98">
        <f>HLOOKUP(SUBSTITUTE(CONCATENATE(SUBSTITUTE(SUBSTITUTE(A51,"歳","")," ",""),"_全体")," ",""),[9]データ貼り付けシート!$1:$2,2,FALSE)</f>
        <v>1491</v>
      </c>
      <c r="E51" s="96"/>
    </row>
    <row r="52" spans="1:5" x14ac:dyDescent="0.4">
      <c r="A52" s="97" t="s">
        <v>53</v>
      </c>
      <c r="B52" s="98">
        <f>HLOOKUP(SUBSTITUTE(CONCATENATE(SUBSTITUTE(SUBSTITUTE(A52,"歳","")," ",""),"_男")," ",""),[9]データ貼り付けシート!$1:$2,2,FALSE)</f>
        <v>757</v>
      </c>
      <c r="C52" s="98">
        <f>HLOOKUP(SUBSTITUTE(CONCATENATE(SUBSTITUTE(SUBSTITUTE(A52,"歳","")," ",""),"_女")," ",""),[9]データ貼り付けシート!$1:$2,2,FALSE)</f>
        <v>690</v>
      </c>
      <c r="D52" s="98">
        <f>HLOOKUP(SUBSTITUTE(CONCATENATE(SUBSTITUTE(SUBSTITUTE(A52,"歳","")," ",""),"_全体")," ",""),[9]データ貼り付けシート!$1:$2,2,FALSE)</f>
        <v>1447</v>
      </c>
      <c r="E52" s="96"/>
    </row>
    <row r="53" spans="1:5" x14ac:dyDescent="0.4">
      <c r="A53" s="97" t="s">
        <v>54</v>
      </c>
      <c r="B53" s="98">
        <f>HLOOKUP(SUBSTITUTE(CONCATENATE(SUBSTITUTE(SUBSTITUTE(A53,"歳","")," ",""),"_男")," ",""),[9]データ貼り付けシート!$1:$2,2,FALSE)</f>
        <v>706</v>
      </c>
      <c r="C53" s="98">
        <f>HLOOKUP(SUBSTITUTE(CONCATENATE(SUBSTITUTE(SUBSTITUTE(A53,"歳","")," ",""),"_女")," ",""),[9]データ貼り付けシート!$1:$2,2,FALSE)</f>
        <v>608</v>
      </c>
      <c r="D53" s="98">
        <f>HLOOKUP(SUBSTITUTE(CONCATENATE(SUBSTITUTE(SUBSTITUTE(A53,"歳","")," ",""),"_全体")," ",""),[9]データ貼り付けシート!$1:$2,2,FALSE)</f>
        <v>1314</v>
      </c>
      <c r="E53" s="96"/>
    </row>
    <row r="54" spans="1:5" x14ac:dyDescent="0.4">
      <c r="A54" s="97" t="s">
        <v>55</v>
      </c>
      <c r="B54" s="98">
        <f>HLOOKUP(SUBSTITUTE(CONCATENATE(SUBSTITUTE(SUBSTITUTE(A54,"歳","")," ",""),"_男")," ",""),[9]データ貼り付けシート!$1:$2,2,FALSE)</f>
        <v>660</v>
      </c>
      <c r="C54" s="98">
        <f>HLOOKUP(SUBSTITUTE(CONCATENATE(SUBSTITUTE(SUBSTITUTE(A54,"歳","")," ",""),"_女")," ",""),[9]データ貼り付けシート!$1:$2,2,FALSE)</f>
        <v>616</v>
      </c>
      <c r="D54" s="98">
        <f>HLOOKUP(SUBSTITUTE(CONCATENATE(SUBSTITUTE(SUBSTITUTE(A54,"歳","")," ",""),"_全体")," ",""),[9]データ貼り付けシート!$1:$2,2,FALSE)</f>
        <v>1276</v>
      </c>
      <c r="E54" s="96"/>
    </row>
    <row r="55" spans="1:5" x14ac:dyDescent="0.4">
      <c r="A55" s="97" t="s">
        <v>56</v>
      </c>
      <c r="B55" s="98">
        <f>HLOOKUP(SUBSTITUTE(CONCATENATE(SUBSTITUTE(SUBSTITUTE(A55,"歳","")," ",""),"_男")," ",""),[9]データ貼り付けシート!$1:$2,2,FALSE)</f>
        <v>675</v>
      </c>
      <c r="C55" s="98">
        <f>HLOOKUP(SUBSTITUTE(CONCATENATE(SUBSTITUTE(SUBSTITUTE(A55,"歳","")," ",""),"_女")," ",""),[9]データ貼り付けシート!$1:$2,2,FALSE)</f>
        <v>563</v>
      </c>
      <c r="D55" s="98">
        <f>HLOOKUP(SUBSTITUTE(CONCATENATE(SUBSTITUTE(SUBSTITUTE(A55,"歳","")," ",""),"_全体")," ",""),[9]データ貼り付けシート!$1:$2,2,FALSE)</f>
        <v>1238</v>
      </c>
      <c r="E55" s="96"/>
    </row>
    <row r="56" spans="1:5" x14ac:dyDescent="0.4">
      <c r="A56" s="97" t="s">
        <v>57</v>
      </c>
      <c r="B56" s="98">
        <f>HLOOKUP(SUBSTITUTE(CONCATENATE(SUBSTITUTE(SUBSTITUTE(A56,"歳","")," ",""),"_男")," ",""),[9]データ貼り付けシート!$1:$2,2,FALSE)</f>
        <v>537</v>
      </c>
      <c r="C56" s="98">
        <f>HLOOKUP(SUBSTITUTE(CONCATENATE(SUBSTITUTE(SUBSTITUTE(A56,"歳","")," ",""),"_女")," ",""),[9]データ貼り付けシート!$1:$2,2,FALSE)</f>
        <v>410</v>
      </c>
      <c r="D56" s="98">
        <f>HLOOKUP(SUBSTITUTE(CONCATENATE(SUBSTITUTE(SUBSTITUTE(A56,"歳","")," ",""),"_全体")," ",""),[9]データ貼り付けシート!$1:$2,2,FALSE)</f>
        <v>947</v>
      </c>
      <c r="E56" s="96"/>
    </row>
    <row r="57" spans="1:5" x14ac:dyDescent="0.4">
      <c r="A57" s="97" t="s">
        <v>58</v>
      </c>
      <c r="B57" s="98">
        <f>HLOOKUP(SUBSTITUTE(CONCATENATE(SUBSTITUTE(SUBSTITUTE(A57,"歳","")," ",""),"_男")," ",""),[9]データ貼り付けシート!$1:$2,2,FALSE)</f>
        <v>541</v>
      </c>
      <c r="C57" s="98">
        <f>HLOOKUP(SUBSTITUTE(CONCATENATE(SUBSTITUTE(SUBSTITUTE(A57,"歳","")," ",""),"_女")," ",""),[9]データ貼り付けシート!$1:$2,2,FALSE)</f>
        <v>544</v>
      </c>
      <c r="D57" s="98">
        <f>HLOOKUP(SUBSTITUTE(CONCATENATE(SUBSTITUTE(SUBSTITUTE(A57,"歳","")," ",""),"_全体")," ",""),[9]データ貼り付けシート!$1:$2,2,FALSE)</f>
        <v>1085</v>
      </c>
      <c r="E57" s="96"/>
    </row>
    <row r="58" spans="1:5" x14ac:dyDescent="0.4">
      <c r="A58" s="97" t="s">
        <v>59</v>
      </c>
      <c r="B58" s="98">
        <f>HLOOKUP(SUBSTITUTE(CONCATENATE(SUBSTITUTE(SUBSTITUTE(A58,"歳","")," ",""),"_男")," ",""),[9]データ貼り付けシート!$1:$2,2,FALSE)</f>
        <v>502</v>
      </c>
      <c r="C58" s="98">
        <f>HLOOKUP(SUBSTITUTE(CONCATENATE(SUBSTITUTE(SUBSTITUTE(A58,"歳","")," ",""),"_女")," ",""),[9]データ貼り付けシート!$1:$2,2,FALSE)</f>
        <v>486</v>
      </c>
      <c r="D58" s="98">
        <f>HLOOKUP(SUBSTITUTE(CONCATENATE(SUBSTITUTE(SUBSTITUTE(A58,"歳","")," ",""),"_全体")," ",""),[9]データ貼り付けシート!$1:$2,2,FALSE)</f>
        <v>988</v>
      </c>
      <c r="E58" s="96"/>
    </row>
    <row r="59" spans="1:5" x14ac:dyDescent="0.4">
      <c r="A59" s="97" t="s">
        <v>60</v>
      </c>
      <c r="B59" s="98">
        <f>HLOOKUP(SUBSTITUTE(CONCATENATE(SUBSTITUTE(SUBSTITUTE(A59,"歳","")," ",""),"_男")," ",""),[9]データ貼り付けシート!$1:$2,2,FALSE)</f>
        <v>493</v>
      </c>
      <c r="C59" s="98">
        <f>HLOOKUP(SUBSTITUTE(CONCATENATE(SUBSTITUTE(SUBSTITUTE(A59,"歳","")," ",""),"_女")," ",""),[9]データ貼り付けシート!$1:$2,2,FALSE)</f>
        <v>442</v>
      </c>
      <c r="D59" s="98">
        <f>HLOOKUP(SUBSTITUTE(CONCATENATE(SUBSTITUTE(SUBSTITUTE(A59,"歳","")," ",""),"_全体")," ",""),[9]データ貼り付けシート!$1:$2,2,FALSE)</f>
        <v>935</v>
      </c>
      <c r="E59" s="96"/>
    </row>
    <row r="60" spans="1:5" x14ac:dyDescent="0.4">
      <c r="A60" s="97" t="s">
        <v>61</v>
      </c>
      <c r="B60" s="98">
        <f>HLOOKUP(SUBSTITUTE(CONCATENATE(SUBSTITUTE(SUBSTITUTE(A60,"歳","")," ",""),"_男")," ",""),[9]データ貼り付けシート!$1:$2,2,FALSE)</f>
        <v>476</v>
      </c>
      <c r="C60" s="98">
        <f>HLOOKUP(SUBSTITUTE(CONCATENATE(SUBSTITUTE(SUBSTITUTE(A60,"歳","")," ",""),"_女")," ",""),[9]データ貼り付けシート!$1:$2,2,FALSE)</f>
        <v>433</v>
      </c>
      <c r="D60" s="98">
        <f>HLOOKUP(SUBSTITUTE(CONCATENATE(SUBSTITUTE(SUBSTITUTE(A60,"歳","")," ",""),"_全体")," ",""),[9]データ貼り付けシート!$1:$2,2,FALSE)</f>
        <v>909</v>
      </c>
      <c r="E60" s="96"/>
    </row>
    <row r="61" spans="1:5" x14ac:dyDescent="0.4">
      <c r="A61" s="97" t="s">
        <v>62</v>
      </c>
      <c r="B61" s="98">
        <f>HLOOKUP(SUBSTITUTE(CONCATENATE(SUBSTITUTE(SUBSTITUTE(A61,"歳","")," ",""),"_男")," ",""),[9]データ貼り付けシート!$1:$2,2,FALSE)</f>
        <v>428</v>
      </c>
      <c r="C61" s="98">
        <f>HLOOKUP(SUBSTITUTE(CONCATENATE(SUBSTITUTE(SUBSTITUTE(A61,"歳","")," ",""),"_女")," ",""),[9]データ貼り付けシート!$1:$2,2,FALSE)</f>
        <v>422</v>
      </c>
      <c r="D61" s="98">
        <f>HLOOKUP(SUBSTITUTE(CONCATENATE(SUBSTITUTE(SUBSTITUTE(A61,"歳","")," ",""),"_全体")," ",""),[9]データ貼り付けシート!$1:$2,2,FALSE)</f>
        <v>850</v>
      </c>
      <c r="E61" s="96"/>
    </row>
    <row r="62" spans="1:5" x14ac:dyDescent="0.4">
      <c r="A62" s="97" t="s">
        <v>63</v>
      </c>
      <c r="B62" s="98">
        <f>HLOOKUP(SUBSTITUTE(CONCATENATE(SUBSTITUTE(SUBSTITUTE(A62,"歳","")," ",""),"_男")," ",""),[9]データ貼り付けシート!$1:$2,2,FALSE)</f>
        <v>415</v>
      </c>
      <c r="C62" s="98">
        <f>HLOOKUP(SUBSTITUTE(CONCATENATE(SUBSTITUTE(SUBSTITUTE(A62,"歳","")," ",""),"_女")," ",""),[9]データ貼り付けシート!$1:$2,2,FALSE)</f>
        <v>390</v>
      </c>
      <c r="D62" s="98">
        <f>HLOOKUP(SUBSTITUTE(CONCATENATE(SUBSTITUTE(SUBSTITUTE(A62,"歳","")," ",""),"_全体")," ",""),[9]データ貼り付けシート!$1:$2,2,FALSE)</f>
        <v>805</v>
      </c>
      <c r="E62" s="96"/>
    </row>
    <row r="63" spans="1:5" x14ac:dyDescent="0.4">
      <c r="A63" s="97" t="s">
        <v>64</v>
      </c>
      <c r="B63" s="98">
        <f>HLOOKUP(SUBSTITUTE(CONCATENATE(SUBSTITUTE(SUBSTITUTE(A63,"歳","")," ",""),"_男")," ",""),[9]データ貼り付けシート!$1:$2,2,FALSE)</f>
        <v>430</v>
      </c>
      <c r="C63" s="98">
        <f>HLOOKUP(SUBSTITUTE(CONCATENATE(SUBSTITUTE(SUBSTITUTE(A63,"歳","")," ",""),"_女")," ",""),[9]データ貼り付けシート!$1:$2,2,FALSE)</f>
        <v>404</v>
      </c>
      <c r="D63" s="98">
        <f>HLOOKUP(SUBSTITUTE(CONCATENATE(SUBSTITUTE(SUBSTITUTE(A63,"歳","")," ",""),"_全体")," ",""),[9]データ貼り付けシート!$1:$2,2,FALSE)</f>
        <v>834</v>
      </c>
      <c r="E63" s="96"/>
    </row>
    <row r="64" spans="1:5" x14ac:dyDescent="0.4">
      <c r="A64" s="97" t="s">
        <v>65</v>
      </c>
      <c r="B64" s="98">
        <f>HLOOKUP(SUBSTITUTE(CONCATENATE(SUBSTITUTE(SUBSTITUTE(A64,"歳","")," ",""),"_男")," ",""),[9]データ貼り付けシート!$1:$2,2,FALSE)</f>
        <v>433</v>
      </c>
      <c r="C64" s="98">
        <f>HLOOKUP(SUBSTITUTE(CONCATENATE(SUBSTITUTE(SUBSTITUTE(A64,"歳","")," ",""),"_女")," ",""),[9]データ貼り付けシート!$1:$2,2,FALSE)</f>
        <v>408</v>
      </c>
      <c r="D64" s="98">
        <f>HLOOKUP(SUBSTITUTE(CONCATENATE(SUBSTITUTE(SUBSTITUTE(A64,"歳","")," ",""),"_全体")," ",""),[9]データ貼り付けシート!$1:$2,2,FALSE)</f>
        <v>841</v>
      </c>
      <c r="E64" s="96"/>
    </row>
    <row r="65" spans="1:5" x14ac:dyDescent="0.4">
      <c r="A65" s="97" t="s">
        <v>66</v>
      </c>
      <c r="B65" s="98">
        <f>HLOOKUP(SUBSTITUTE(CONCATENATE(SUBSTITUTE(SUBSTITUTE(A65,"歳","")," ",""),"_男")," ",""),[9]データ貼り付けシート!$1:$2,2,FALSE)</f>
        <v>381</v>
      </c>
      <c r="C65" s="98">
        <f>HLOOKUP(SUBSTITUTE(CONCATENATE(SUBSTITUTE(SUBSTITUTE(A65,"歳","")," ",""),"_女")," ",""),[9]データ貼り付けシート!$1:$2,2,FALSE)</f>
        <v>401</v>
      </c>
      <c r="D65" s="98">
        <f>HLOOKUP(SUBSTITUTE(CONCATENATE(SUBSTITUTE(SUBSTITUTE(A65,"歳","")," ",""),"_全体")," ",""),[9]データ貼り付けシート!$1:$2,2,FALSE)</f>
        <v>782</v>
      </c>
      <c r="E65" s="96"/>
    </row>
    <row r="66" spans="1:5" x14ac:dyDescent="0.4">
      <c r="A66" s="97" t="s">
        <v>67</v>
      </c>
      <c r="B66" s="98">
        <f>HLOOKUP(SUBSTITUTE(CONCATENATE(SUBSTITUTE(SUBSTITUTE(A66,"歳","")," ",""),"_男")," ",""),[9]データ貼り付けシート!$1:$2,2,FALSE)</f>
        <v>416</v>
      </c>
      <c r="C66" s="98">
        <f>HLOOKUP(SUBSTITUTE(CONCATENATE(SUBSTITUTE(SUBSTITUTE(A66,"歳","")," ",""),"_女")," ",""),[9]データ貼り付けシート!$1:$2,2,FALSE)</f>
        <v>416</v>
      </c>
      <c r="D66" s="98">
        <f>HLOOKUP(SUBSTITUTE(CONCATENATE(SUBSTITUTE(SUBSTITUTE(A66,"歳","")," ",""),"_全体")," ",""),[9]データ貼り付けシート!$1:$2,2,FALSE)</f>
        <v>832</v>
      </c>
      <c r="E66" s="96"/>
    </row>
    <row r="67" spans="1:5" x14ac:dyDescent="0.4">
      <c r="A67" s="97" t="s">
        <v>68</v>
      </c>
      <c r="B67" s="98">
        <f>HLOOKUP(SUBSTITUTE(CONCATENATE(SUBSTITUTE(SUBSTITUTE(A67,"歳","")," ",""),"_男")," ",""),[9]データ貼り付けシート!$1:$2,2,FALSE)</f>
        <v>443</v>
      </c>
      <c r="C67" s="98">
        <f>HLOOKUP(SUBSTITUTE(CONCATENATE(SUBSTITUTE(SUBSTITUTE(A67,"歳","")," ",""),"_女")," ",""),[9]データ貼り付けシート!$1:$2,2,FALSE)</f>
        <v>429</v>
      </c>
      <c r="D67" s="98">
        <f>HLOOKUP(SUBSTITUTE(CONCATENATE(SUBSTITUTE(SUBSTITUTE(A67,"歳","")," ",""),"_全体")," ",""),[9]データ貼り付けシート!$1:$2,2,FALSE)</f>
        <v>872</v>
      </c>
      <c r="E67" s="96"/>
    </row>
    <row r="68" spans="1:5" x14ac:dyDescent="0.4">
      <c r="A68" s="97" t="s">
        <v>69</v>
      </c>
      <c r="B68" s="98">
        <f>HLOOKUP(SUBSTITUTE(CONCATENATE(SUBSTITUTE(SUBSTITUTE(A68,"歳","")," ",""),"_男")," ",""),[9]データ貼り付けシート!$1:$2,2,FALSE)</f>
        <v>396</v>
      </c>
      <c r="C68" s="98">
        <f>HLOOKUP(SUBSTITUTE(CONCATENATE(SUBSTITUTE(SUBSTITUTE(A68,"歳","")," ",""),"_女")," ",""),[9]データ貼り付けシート!$1:$2,2,FALSE)</f>
        <v>460</v>
      </c>
      <c r="D68" s="98">
        <f>HLOOKUP(SUBSTITUTE(CONCATENATE(SUBSTITUTE(SUBSTITUTE(A68,"歳","")," ",""),"_全体")," ",""),[9]データ貼り付けシート!$1:$2,2,FALSE)</f>
        <v>856</v>
      </c>
      <c r="E68" s="96"/>
    </row>
    <row r="69" spans="1:5" x14ac:dyDescent="0.4">
      <c r="A69" s="97" t="s">
        <v>70</v>
      </c>
      <c r="B69" s="98">
        <f>HLOOKUP(SUBSTITUTE(CONCATENATE(SUBSTITUTE(SUBSTITUTE(A69,"歳","")," ",""),"_男")," ",""),[9]データ貼り付けシート!$1:$2,2,FALSE)</f>
        <v>440</v>
      </c>
      <c r="C69" s="98">
        <f>HLOOKUP(SUBSTITUTE(CONCATENATE(SUBSTITUTE(SUBSTITUTE(A69,"歳","")," ",""),"_女")," ",""),[9]データ貼り付けシート!$1:$2,2,FALSE)</f>
        <v>507</v>
      </c>
      <c r="D69" s="98">
        <f>HLOOKUP(SUBSTITUTE(CONCATENATE(SUBSTITUTE(SUBSTITUTE(A69,"歳","")," ",""),"_全体")," ",""),[9]データ貼り付けシート!$1:$2,2,FALSE)</f>
        <v>947</v>
      </c>
      <c r="E69" s="96"/>
    </row>
    <row r="70" spans="1:5" x14ac:dyDescent="0.4">
      <c r="A70" s="97" t="s">
        <v>71</v>
      </c>
      <c r="B70" s="98">
        <f>HLOOKUP(SUBSTITUTE(CONCATENATE(SUBSTITUTE(SUBSTITUTE(A70,"歳","")," ",""),"_男")," ",""),[9]データ貼り付けシート!$1:$2,2,FALSE)</f>
        <v>474</v>
      </c>
      <c r="C70" s="98">
        <f>HLOOKUP(SUBSTITUTE(CONCATENATE(SUBSTITUTE(SUBSTITUTE(A70,"歳","")," ",""),"_女")," ",""),[9]データ貼り付けシート!$1:$2,2,FALSE)</f>
        <v>542</v>
      </c>
      <c r="D70" s="98">
        <f>HLOOKUP(SUBSTITUTE(CONCATENATE(SUBSTITUTE(SUBSTITUTE(A70,"歳","")," ",""),"_全体")," ",""),[9]データ貼り付けシート!$1:$2,2,FALSE)</f>
        <v>1016</v>
      </c>
      <c r="E70" s="96"/>
    </row>
    <row r="71" spans="1:5" x14ac:dyDescent="0.4">
      <c r="A71" s="97" t="s">
        <v>72</v>
      </c>
      <c r="B71" s="98">
        <f>HLOOKUP(SUBSTITUTE(CONCATENATE(SUBSTITUTE(SUBSTITUTE(A71,"歳","")," ",""),"_男")," ",""),[9]データ貼り付けシート!$1:$2,2,FALSE)</f>
        <v>552</v>
      </c>
      <c r="C71" s="98">
        <f>HLOOKUP(SUBSTITUTE(CONCATENATE(SUBSTITUTE(SUBSTITUTE(A71,"歳","")," ",""),"_女")," ",""),[9]データ貼り付けシート!$1:$2,2,FALSE)</f>
        <v>583</v>
      </c>
      <c r="D71" s="98">
        <f>HLOOKUP(SUBSTITUTE(CONCATENATE(SUBSTITUTE(SUBSTITUTE(A71,"歳","")," ",""),"_全体")," ",""),[9]データ貼り付けシート!$1:$2,2,FALSE)</f>
        <v>1135</v>
      </c>
      <c r="E71" s="96"/>
    </row>
    <row r="72" spans="1:5" x14ac:dyDescent="0.4">
      <c r="A72" s="97" t="s">
        <v>73</v>
      </c>
      <c r="B72" s="98">
        <f>HLOOKUP(SUBSTITUTE(CONCATENATE(SUBSTITUTE(SUBSTITUTE(A72,"歳","")," ",""),"_男")," ",""),[9]データ貼り付けシート!$1:$2,2,FALSE)</f>
        <v>574</v>
      </c>
      <c r="C72" s="98">
        <f>HLOOKUP(SUBSTITUTE(CONCATENATE(SUBSTITUTE(SUBSTITUTE(A72,"歳","")," ",""),"_女")," ",""),[9]データ貼り付けシート!$1:$2,2,FALSE)</f>
        <v>660</v>
      </c>
      <c r="D72" s="98">
        <f>HLOOKUP(SUBSTITUTE(CONCATENATE(SUBSTITUTE(SUBSTITUTE(A72,"歳","")," ",""),"_全体")," ",""),[9]データ貼り付けシート!$1:$2,2,FALSE)</f>
        <v>1234</v>
      </c>
      <c r="E72" s="96"/>
    </row>
    <row r="73" spans="1:5" x14ac:dyDescent="0.4">
      <c r="A73" s="97" t="s">
        <v>74</v>
      </c>
      <c r="B73" s="98">
        <f>HLOOKUP(SUBSTITUTE(CONCATENATE(SUBSTITUTE(SUBSTITUTE(A73,"歳","")," ",""),"_男")," ",""),[9]データ貼り付けシート!$1:$2,2,FALSE)</f>
        <v>673</v>
      </c>
      <c r="C73" s="98">
        <f>HLOOKUP(SUBSTITUTE(CONCATENATE(SUBSTITUTE(SUBSTITUTE(A73,"歳","")," ",""),"_女")," ",""),[9]データ貼り付けシート!$1:$2,2,FALSE)</f>
        <v>772</v>
      </c>
      <c r="D73" s="98">
        <f>HLOOKUP(SUBSTITUTE(CONCATENATE(SUBSTITUTE(SUBSTITUTE(A73,"歳","")," ",""),"_全体")," ",""),[9]データ貼り付けシート!$1:$2,2,FALSE)</f>
        <v>1445</v>
      </c>
      <c r="E73" s="96"/>
    </row>
    <row r="74" spans="1:5" x14ac:dyDescent="0.4">
      <c r="A74" s="97" t="s">
        <v>75</v>
      </c>
      <c r="B74" s="98">
        <f>HLOOKUP(SUBSTITUTE(CONCATENATE(SUBSTITUTE(SUBSTITUTE(A74,"歳","")," ",""),"_男")," ",""),[9]データ貼り付けシート!$1:$2,2,FALSE)</f>
        <v>651</v>
      </c>
      <c r="C74" s="98">
        <f>HLOOKUP(SUBSTITUTE(CONCATENATE(SUBSTITUTE(SUBSTITUTE(A74,"歳","")," ",""),"_女")," ",""),[9]データ貼り付けシート!$1:$2,2,FALSE)</f>
        <v>766</v>
      </c>
      <c r="D74" s="98">
        <f>HLOOKUP(SUBSTITUTE(CONCATENATE(SUBSTITUTE(SUBSTITUTE(A74,"歳","")," ",""),"_全体")," ",""),[9]データ貼り付けシート!$1:$2,2,FALSE)</f>
        <v>1417</v>
      </c>
      <c r="E74" s="96"/>
    </row>
    <row r="75" spans="1:5" x14ac:dyDescent="0.4">
      <c r="A75" s="97" t="s">
        <v>76</v>
      </c>
      <c r="B75" s="98">
        <f>HLOOKUP(SUBSTITUTE(CONCATENATE(SUBSTITUTE(SUBSTITUTE(A75,"歳","")," ",""),"_男")," ",""),[9]データ貼り付けシート!$1:$2,2,FALSE)</f>
        <v>663</v>
      </c>
      <c r="C75" s="98">
        <f>HLOOKUP(SUBSTITUTE(CONCATENATE(SUBSTITUTE(SUBSTITUTE(A75,"歳","")," ",""),"_女")," ",""),[9]データ貼り付けシート!$1:$2,2,FALSE)</f>
        <v>730</v>
      </c>
      <c r="D75" s="98">
        <f>HLOOKUP(SUBSTITUTE(CONCATENATE(SUBSTITUTE(SUBSTITUTE(A75,"歳","")," ",""),"_全体")," ",""),[9]データ貼り付けシート!$1:$2,2,FALSE)</f>
        <v>1393</v>
      </c>
      <c r="E75" s="96"/>
    </row>
    <row r="76" spans="1:5" x14ac:dyDescent="0.4">
      <c r="A76" s="97" t="s">
        <v>77</v>
      </c>
      <c r="B76" s="98">
        <f>HLOOKUP(SUBSTITUTE(CONCATENATE(SUBSTITUTE(SUBSTITUTE(A76,"歳","")," ",""),"_男")," ",""),[9]データ貼り付けシート!$1:$2,2,FALSE)</f>
        <v>355</v>
      </c>
      <c r="C76" s="98">
        <f>HLOOKUP(SUBSTITUTE(CONCATENATE(SUBSTITUTE(SUBSTITUTE(A76,"歳","")," ",""),"_女")," ",""),[9]データ貼り付けシート!$1:$2,2,FALSE)</f>
        <v>451</v>
      </c>
      <c r="D76" s="98">
        <f>HLOOKUP(SUBSTITUTE(CONCATENATE(SUBSTITUTE(SUBSTITUTE(A76,"歳","")," ",""),"_全体")," ",""),[9]データ貼り付けシート!$1:$2,2,FALSE)</f>
        <v>806</v>
      </c>
      <c r="E76" s="96"/>
    </row>
    <row r="77" spans="1:5" x14ac:dyDescent="0.4">
      <c r="A77" s="97" t="s">
        <v>78</v>
      </c>
      <c r="B77" s="98">
        <f>HLOOKUP(SUBSTITUTE(CONCATENATE(SUBSTITUTE(SUBSTITUTE(A77,"歳","")," ",""),"_男")," ",""),[9]データ貼り付けシート!$1:$2,2,FALSE)</f>
        <v>418</v>
      </c>
      <c r="C77" s="98">
        <f>HLOOKUP(SUBSTITUTE(CONCATENATE(SUBSTITUTE(SUBSTITUTE(A77,"歳","")," ",""),"_女")," ",""),[9]データ貼り付けシート!$1:$2,2,FALSE)</f>
        <v>516</v>
      </c>
      <c r="D77" s="98">
        <f>HLOOKUP(SUBSTITUTE(CONCATENATE(SUBSTITUTE(SUBSTITUTE(A77,"歳","")," ",""),"_全体")," ",""),[9]データ貼り付けシート!$1:$2,2,FALSE)</f>
        <v>934</v>
      </c>
      <c r="E77" s="96"/>
    </row>
    <row r="78" spans="1:5" x14ac:dyDescent="0.4">
      <c r="A78" s="97" t="s">
        <v>79</v>
      </c>
      <c r="B78" s="98">
        <f>HLOOKUP(SUBSTITUTE(CONCATENATE(SUBSTITUTE(SUBSTITUTE(A78,"歳","")," ",""),"_男")," ",""),[9]データ貼り付けシート!$1:$2,2,FALSE)</f>
        <v>526</v>
      </c>
      <c r="C78" s="98">
        <f>HLOOKUP(SUBSTITUTE(CONCATENATE(SUBSTITUTE(SUBSTITUTE(A78,"歳","")," ",""),"_女")," ",""),[9]データ貼り付けシート!$1:$2,2,FALSE)</f>
        <v>605</v>
      </c>
      <c r="D78" s="98">
        <f>HLOOKUP(SUBSTITUTE(CONCATENATE(SUBSTITUTE(SUBSTITUTE(A78,"歳","")," ",""),"_全体")," ",""),[9]データ貼り付けシート!$1:$2,2,FALSE)</f>
        <v>1131</v>
      </c>
      <c r="E78" s="96"/>
    </row>
    <row r="79" spans="1:5" x14ac:dyDescent="0.4">
      <c r="A79" s="97" t="s">
        <v>80</v>
      </c>
      <c r="B79" s="98">
        <f>HLOOKUP(SUBSTITUTE(CONCATENATE(SUBSTITUTE(SUBSTITUTE(A79,"歳","")," ",""),"_男")," ",""),[9]データ貼り付けシート!$1:$2,2,FALSE)</f>
        <v>487</v>
      </c>
      <c r="C79" s="98">
        <f>HLOOKUP(SUBSTITUTE(CONCATENATE(SUBSTITUTE(SUBSTITUTE(A79,"歳","")," ",""),"_女")," ",""),[9]データ貼り付けシート!$1:$2,2,FALSE)</f>
        <v>650</v>
      </c>
      <c r="D79" s="98">
        <f>HLOOKUP(SUBSTITUTE(CONCATENATE(SUBSTITUTE(SUBSTITUTE(A79,"歳","")," ",""),"_全体")," ",""),[9]データ貼り付けシート!$1:$2,2,FALSE)</f>
        <v>1137</v>
      </c>
      <c r="E79" s="96"/>
    </row>
    <row r="80" spans="1:5" x14ac:dyDescent="0.4">
      <c r="A80" s="97" t="s">
        <v>81</v>
      </c>
      <c r="B80" s="98">
        <f>HLOOKUP(SUBSTITUTE(CONCATENATE(SUBSTITUTE(SUBSTITUTE(A80,"歳","")," ",""),"_男")," ",""),[9]データ貼り付けシート!$1:$2,2,FALSE)</f>
        <v>500</v>
      </c>
      <c r="C80" s="98">
        <f>HLOOKUP(SUBSTITUTE(CONCATENATE(SUBSTITUTE(SUBSTITUTE(A80,"歳","")," ",""),"_女")," ",""),[9]データ貼り付けシート!$1:$2,2,FALSE)</f>
        <v>634</v>
      </c>
      <c r="D80" s="98">
        <f>HLOOKUP(SUBSTITUTE(CONCATENATE(SUBSTITUTE(SUBSTITUTE(A80,"歳","")," ",""),"_全体")," ",""),[9]データ貼り付けシート!$1:$2,2,FALSE)</f>
        <v>1134</v>
      </c>
      <c r="E80" s="96"/>
    </row>
    <row r="81" spans="1:5" x14ac:dyDescent="0.4">
      <c r="A81" s="97" t="s">
        <v>82</v>
      </c>
      <c r="B81" s="98">
        <f>HLOOKUP(SUBSTITUTE(CONCATENATE(SUBSTITUTE(SUBSTITUTE(A81,"歳","")," ",""),"_男")," ",""),[9]データ貼り付けシート!$1:$2,2,FALSE)</f>
        <v>492</v>
      </c>
      <c r="C81" s="98">
        <f>HLOOKUP(SUBSTITUTE(CONCATENATE(SUBSTITUTE(SUBSTITUTE(A81,"歳","")," ",""),"_女")," ",""),[9]データ貼り付けシート!$1:$2,2,FALSE)</f>
        <v>570</v>
      </c>
      <c r="D81" s="98">
        <f>HLOOKUP(SUBSTITUTE(CONCATENATE(SUBSTITUTE(SUBSTITUTE(A81,"歳","")," ",""),"_全体")," ",""),[9]データ貼り付けシート!$1:$2,2,FALSE)</f>
        <v>1062</v>
      </c>
      <c r="E81" s="96"/>
    </row>
    <row r="82" spans="1:5" x14ac:dyDescent="0.4">
      <c r="A82" s="97" t="s">
        <v>83</v>
      </c>
      <c r="B82" s="98">
        <f>HLOOKUP(SUBSTITUTE(CONCATENATE(SUBSTITUTE(SUBSTITUTE(A82,"歳","")," ",""),"_男")," ",""),[9]データ貼り付けシート!$1:$2,2,FALSE)</f>
        <v>395</v>
      </c>
      <c r="C82" s="98">
        <f>HLOOKUP(SUBSTITUTE(CONCATENATE(SUBSTITUTE(SUBSTITUTE(A82,"歳","")," ",""),"_女")," ",""),[9]データ貼り付けシート!$1:$2,2,FALSE)</f>
        <v>502</v>
      </c>
      <c r="D82" s="98">
        <f>HLOOKUP(SUBSTITUTE(CONCATENATE(SUBSTITUTE(SUBSTITUTE(A82,"歳","")," ",""),"_全体")," ",""),[9]データ貼り付けシート!$1:$2,2,FALSE)</f>
        <v>897</v>
      </c>
      <c r="E82" s="96"/>
    </row>
    <row r="83" spans="1:5" x14ac:dyDescent="0.4">
      <c r="A83" s="97" t="s">
        <v>84</v>
      </c>
      <c r="B83" s="98">
        <f>HLOOKUP(SUBSTITUTE(CONCATENATE(SUBSTITUTE(SUBSTITUTE(A83,"歳","")," ",""),"_男")," ",""),[9]データ貼り付けシート!$1:$2,2,FALSE)</f>
        <v>331</v>
      </c>
      <c r="C83" s="98">
        <f>HLOOKUP(SUBSTITUTE(CONCATENATE(SUBSTITUTE(SUBSTITUTE(A83,"歳","")," ",""),"_女")," ",""),[9]データ貼り付けシート!$1:$2,2,FALSE)</f>
        <v>364</v>
      </c>
      <c r="D83" s="98">
        <f>HLOOKUP(SUBSTITUTE(CONCATENATE(SUBSTITUTE(SUBSTITUTE(A83,"歳","")," ",""),"_全体")," ",""),[9]データ貼り付けシート!$1:$2,2,FALSE)</f>
        <v>695</v>
      </c>
      <c r="E83" s="96"/>
    </row>
    <row r="84" spans="1:5" x14ac:dyDescent="0.4">
      <c r="A84" s="97" t="s">
        <v>85</v>
      </c>
      <c r="B84" s="98">
        <f>HLOOKUP(SUBSTITUTE(CONCATENATE(SUBSTITUTE(SUBSTITUTE(A84,"歳","")," ",""),"_男")," ",""),[9]データ貼り付けシート!$1:$2,2,FALSE)</f>
        <v>306</v>
      </c>
      <c r="C84" s="98">
        <f>HLOOKUP(SUBSTITUTE(CONCATENATE(SUBSTITUTE(SUBSTITUTE(A84,"歳","")," ",""),"_女")," ",""),[9]データ貼り付けシート!$1:$2,2,FALSE)</f>
        <v>395</v>
      </c>
      <c r="D84" s="98">
        <f>HLOOKUP(SUBSTITUTE(CONCATENATE(SUBSTITUTE(SUBSTITUTE(A84,"歳","")," ",""),"_全体")," ",""),[9]データ貼り付けシート!$1:$2,2,FALSE)</f>
        <v>701</v>
      </c>
      <c r="E84" s="96"/>
    </row>
    <row r="85" spans="1:5" x14ac:dyDescent="0.4">
      <c r="A85" s="97" t="s">
        <v>86</v>
      </c>
      <c r="B85" s="98">
        <f>HLOOKUP(SUBSTITUTE(CONCATENATE(SUBSTITUTE(SUBSTITUTE(A85,"歳","")," ",""),"_男")," ",""),[9]データ貼り付けシート!$1:$2,2,FALSE)</f>
        <v>291</v>
      </c>
      <c r="C85" s="98">
        <f>HLOOKUP(SUBSTITUTE(CONCATENATE(SUBSTITUTE(SUBSTITUTE(A85,"歳","")," ",""),"_女")," ",""),[9]データ貼り付けシート!$1:$2,2,FALSE)</f>
        <v>344</v>
      </c>
      <c r="D85" s="98">
        <f>HLOOKUP(SUBSTITUTE(CONCATENATE(SUBSTITUTE(SUBSTITUTE(A85,"歳","")," ",""),"_全体")," ",""),[9]データ貼り付けシート!$1:$2,2,FALSE)</f>
        <v>635</v>
      </c>
      <c r="E85" s="96"/>
    </row>
    <row r="86" spans="1:5" x14ac:dyDescent="0.4">
      <c r="A86" s="97" t="s">
        <v>87</v>
      </c>
      <c r="B86" s="98">
        <f>HLOOKUP(SUBSTITUTE(CONCATENATE(SUBSTITUTE(SUBSTITUTE(A86,"歳","")," ",""),"_男")," ",""),[9]データ貼り付けシート!$1:$2,2,FALSE)</f>
        <v>286</v>
      </c>
      <c r="C86" s="98">
        <f>HLOOKUP(SUBSTITUTE(CONCATENATE(SUBSTITUTE(SUBSTITUTE(A86,"歳","")," ",""),"_女")," ",""),[9]データ貼り付けシート!$1:$2,2,FALSE)</f>
        <v>319</v>
      </c>
      <c r="D86" s="98">
        <f>HLOOKUP(SUBSTITUTE(CONCATENATE(SUBSTITUTE(SUBSTITUTE(A86,"歳","")," ",""),"_全体")," ",""),[9]データ貼り付けシート!$1:$2,2,FALSE)</f>
        <v>605</v>
      </c>
      <c r="E86" s="96"/>
    </row>
    <row r="87" spans="1:5" x14ac:dyDescent="0.4">
      <c r="A87" s="97" t="s">
        <v>88</v>
      </c>
      <c r="B87" s="98">
        <f>HLOOKUP(SUBSTITUTE(CONCATENATE(SUBSTITUTE(SUBSTITUTE(A87,"歳","")," ",""),"_男")," ",""),[9]データ貼り付けシート!$1:$2,2,FALSE)</f>
        <v>207</v>
      </c>
      <c r="C87" s="98">
        <f>HLOOKUP(SUBSTITUTE(CONCATENATE(SUBSTITUTE(SUBSTITUTE(A87,"歳","")," ",""),"_女")," ",""),[9]データ貼り付けシート!$1:$2,2,FALSE)</f>
        <v>286</v>
      </c>
      <c r="D87" s="98">
        <f>HLOOKUP(SUBSTITUTE(CONCATENATE(SUBSTITUTE(SUBSTITUTE(A87,"歳","")," ",""),"_全体")," ",""),[9]データ貼り付けシート!$1:$2,2,FALSE)</f>
        <v>493</v>
      </c>
      <c r="E87" s="96"/>
    </row>
    <row r="88" spans="1:5" x14ac:dyDescent="0.4">
      <c r="A88" s="97" t="s">
        <v>89</v>
      </c>
      <c r="B88" s="98">
        <f>HLOOKUP(SUBSTITUTE(CONCATENATE(SUBSTITUTE(SUBSTITUTE(A88,"歳","")," ",""),"_男")," ",""),[9]データ貼り付けシート!$1:$2,2,FALSE)</f>
        <v>142</v>
      </c>
      <c r="C88" s="98">
        <f>HLOOKUP(SUBSTITUTE(CONCATENATE(SUBSTITUTE(SUBSTITUTE(A88,"歳","")," ",""),"_女")," ",""),[9]データ貼り付けシート!$1:$2,2,FALSE)</f>
        <v>280</v>
      </c>
      <c r="D88" s="98">
        <f>HLOOKUP(SUBSTITUTE(CONCATENATE(SUBSTITUTE(SUBSTITUTE(A88,"歳","")," ",""),"_全体")," ",""),[9]データ貼り付けシート!$1:$2,2,FALSE)</f>
        <v>422</v>
      </c>
      <c r="E88" s="96"/>
    </row>
    <row r="89" spans="1:5" x14ac:dyDescent="0.4">
      <c r="A89" s="97" t="s">
        <v>90</v>
      </c>
      <c r="B89" s="98">
        <f>HLOOKUP(SUBSTITUTE(CONCATENATE(SUBSTITUTE(SUBSTITUTE(A89,"歳","")," ",""),"_男")," ",""),[9]データ貼り付けシート!$1:$2,2,FALSE)</f>
        <v>140</v>
      </c>
      <c r="C89" s="98">
        <f>HLOOKUP(SUBSTITUTE(CONCATENATE(SUBSTITUTE(SUBSTITUTE(A89,"歳","")," ",""),"_女")," ",""),[9]データ貼り付けシート!$1:$2,2,FALSE)</f>
        <v>248</v>
      </c>
      <c r="D89" s="98">
        <f>HLOOKUP(SUBSTITUTE(CONCATENATE(SUBSTITUTE(SUBSTITUTE(A89,"歳","")," ",""),"_全体")," ",""),[9]データ貼り付けシート!$1:$2,2,FALSE)</f>
        <v>388</v>
      </c>
      <c r="E89" s="96"/>
    </row>
    <row r="90" spans="1:5" x14ac:dyDescent="0.4">
      <c r="A90" s="97" t="s">
        <v>91</v>
      </c>
      <c r="B90" s="98">
        <f>HLOOKUP(SUBSTITUTE(CONCATENATE(SUBSTITUTE(SUBSTITUTE(A90,"歳","")," ",""),"_男")," ",""),[9]データ貼り付けシート!$1:$2,2,FALSE)</f>
        <v>126</v>
      </c>
      <c r="C90" s="98">
        <f>HLOOKUP(SUBSTITUTE(CONCATENATE(SUBSTITUTE(SUBSTITUTE(A90,"歳","")," ",""),"_女")," ",""),[9]データ貼り付けシート!$1:$2,2,FALSE)</f>
        <v>185</v>
      </c>
      <c r="D90" s="98">
        <f>HLOOKUP(SUBSTITUTE(CONCATENATE(SUBSTITUTE(SUBSTITUTE(A90,"歳","")," ",""),"_全体")," ",""),[9]データ貼り付けシート!$1:$2,2,FALSE)</f>
        <v>311</v>
      </c>
      <c r="E90" s="96"/>
    </row>
    <row r="91" spans="1:5" x14ac:dyDescent="0.4">
      <c r="A91" s="97" t="s">
        <v>92</v>
      </c>
      <c r="B91" s="98">
        <f>HLOOKUP(SUBSTITUTE(CONCATENATE(SUBSTITUTE(SUBSTITUTE(A91,"歳","")," ",""),"_男")," ",""),[9]データ貼り付けシート!$1:$2,2,FALSE)</f>
        <v>96</v>
      </c>
      <c r="C91" s="98">
        <f>HLOOKUP(SUBSTITUTE(CONCATENATE(SUBSTITUTE(SUBSTITUTE(A91,"歳","")," ",""),"_女")," ",""),[9]データ貼り付けシート!$1:$2,2,FALSE)</f>
        <v>169</v>
      </c>
      <c r="D91" s="98">
        <f>HLOOKUP(SUBSTITUTE(CONCATENATE(SUBSTITUTE(SUBSTITUTE(A91,"歳","")," ",""),"_全体")," ",""),[9]データ貼り付けシート!$1:$2,2,FALSE)</f>
        <v>265</v>
      </c>
      <c r="E91" s="96"/>
    </row>
    <row r="92" spans="1:5" x14ac:dyDescent="0.4">
      <c r="A92" s="97" t="s">
        <v>93</v>
      </c>
      <c r="B92" s="98">
        <f>HLOOKUP(SUBSTITUTE(CONCATENATE(SUBSTITUTE(SUBSTITUTE(A92,"歳","")," ",""),"_男")," ",""),[9]データ貼り付けシート!$1:$2,2,FALSE)</f>
        <v>54</v>
      </c>
      <c r="C92" s="98">
        <f>HLOOKUP(SUBSTITUTE(CONCATENATE(SUBSTITUTE(SUBSTITUTE(A92,"歳","")," ",""),"_女")," ",""),[9]データ貼り付けシート!$1:$2,2,FALSE)</f>
        <v>134</v>
      </c>
      <c r="D92" s="98">
        <f>HLOOKUP(SUBSTITUTE(CONCATENATE(SUBSTITUTE(SUBSTITUTE(A92,"歳","")," ",""),"_全体")," ",""),[9]データ貼り付けシート!$1:$2,2,FALSE)</f>
        <v>188</v>
      </c>
      <c r="E92" s="96"/>
    </row>
    <row r="93" spans="1:5" x14ac:dyDescent="0.4">
      <c r="A93" s="97" t="s">
        <v>94</v>
      </c>
      <c r="B93" s="98">
        <f>HLOOKUP(SUBSTITUTE(CONCATENATE(SUBSTITUTE(SUBSTITUTE(A93,"歳","")," ",""),"_男")," ",""),[9]データ貼り付けシート!$1:$2,2,FALSE)</f>
        <v>57</v>
      </c>
      <c r="C93" s="98">
        <f>HLOOKUP(SUBSTITUTE(CONCATENATE(SUBSTITUTE(SUBSTITUTE(A93,"歳","")," ",""),"_女")," ",""),[9]データ貼り付けシート!$1:$2,2,FALSE)</f>
        <v>155</v>
      </c>
      <c r="D93" s="98">
        <f>HLOOKUP(SUBSTITUTE(CONCATENATE(SUBSTITUTE(SUBSTITUTE(A93,"歳","")," ",""),"_全体")," ",""),[9]データ貼り付けシート!$1:$2,2,FALSE)</f>
        <v>212</v>
      </c>
      <c r="E93" s="96"/>
    </row>
    <row r="94" spans="1:5" x14ac:dyDescent="0.4">
      <c r="A94" s="97" t="s">
        <v>95</v>
      </c>
      <c r="B94" s="98">
        <f>HLOOKUP(SUBSTITUTE(CONCATENATE(SUBSTITUTE(SUBSTITUTE(A94,"歳","")," ",""),"_男")," ",""),[9]データ貼り付けシート!$1:$2,2,FALSE)</f>
        <v>46</v>
      </c>
      <c r="C94" s="98">
        <f>HLOOKUP(SUBSTITUTE(CONCATENATE(SUBSTITUTE(SUBSTITUTE(A94,"歳","")," ",""),"_女")," ",""),[9]データ貼り付けシート!$1:$2,2,FALSE)</f>
        <v>110</v>
      </c>
      <c r="D94" s="98">
        <f>HLOOKUP(SUBSTITUTE(CONCATENATE(SUBSTITUTE(SUBSTITUTE(A94,"歳","")," ",""),"_全体")," ",""),[9]データ貼り付けシート!$1:$2,2,FALSE)</f>
        <v>156</v>
      </c>
      <c r="E94" s="96"/>
    </row>
    <row r="95" spans="1:5" x14ac:dyDescent="0.4">
      <c r="A95" s="97" t="s">
        <v>96</v>
      </c>
      <c r="B95" s="98">
        <f>HLOOKUP(SUBSTITUTE(CONCATENATE(SUBSTITUTE(SUBSTITUTE(A95,"歳","")," ",""),"_男")," ",""),[9]データ貼り付けシート!$1:$2,2,FALSE)</f>
        <v>33</v>
      </c>
      <c r="C95" s="98">
        <f>HLOOKUP(SUBSTITUTE(CONCATENATE(SUBSTITUTE(SUBSTITUTE(A95,"歳","")," ",""),"_女")," ",""),[9]データ貼り付けシート!$1:$2,2,FALSE)</f>
        <v>97</v>
      </c>
      <c r="D95" s="98">
        <f>HLOOKUP(SUBSTITUTE(CONCATENATE(SUBSTITUTE(SUBSTITUTE(A95,"歳","")," ",""),"_全体")," ",""),[9]データ貼り付けシート!$1:$2,2,FALSE)</f>
        <v>130</v>
      </c>
      <c r="E95" s="96"/>
    </row>
    <row r="96" spans="1:5" x14ac:dyDescent="0.4">
      <c r="A96" s="97" t="s">
        <v>97</v>
      </c>
      <c r="B96" s="98">
        <f>HLOOKUP(SUBSTITUTE(CONCATENATE(SUBSTITUTE(SUBSTITUTE(A96,"歳","")," ",""),"_男")," ",""),[9]データ貼り付けシート!$1:$2,2,FALSE)</f>
        <v>24</v>
      </c>
      <c r="C96" s="98">
        <f>HLOOKUP(SUBSTITUTE(CONCATENATE(SUBSTITUTE(SUBSTITUTE(A96,"歳","")," ",""),"_女")," ",""),[9]データ貼り付けシート!$1:$2,2,FALSE)</f>
        <v>73</v>
      </c>
      <c r="D96" s="98">
        <f>HLOOKUP(SUBSTITUTE(CONCATENATE(SUBSTITUTE(SUBSTITUTE(A96,"歳","")," ",""),"_全体")," ",""),[9]データ貼り付けシート!$1:$2,2,FALSE)</f>
        <v>97</v>
      </c>
      <c r="E96" s="96"/>
    </row>
    <row r="97" spans="1:5" x14ac:dyDescent="0.4">
      <c r="A97" s="97" t="s">
        <v>98</v>
      </c>
      <c r="B97" s="98">
        <f>HLOOKUP(SUBSTITUTE(CONCATENATE(SUBSTITUTE(SUBSTITUTE(A97,"歳","")," ",""),"_男")," ",""),[9]データ貼り付けシート!$1:$2,2,FALSE)</f>
        <v>14</v>
      </c>
      <c r="C97" s="98">
        <f>HLOOKUP(SUBSTITUTE(CONCATENATE(SUBSTITUTE(SUBSTITUTE(A97,"歳","")," ",""),"_女")," ",""),[9]データ貼り付けシート!$1:$2,2,FALSE)</f>
        <v>66</v>
      </c>
      <c r="D97" s="98">
        <f>HLOOKUP(SUBSTITUTE(CONCATENATE(SUBSTITUTE(SUBSTITUTE(A97,"歳","")," ",""),"_全体")," ",""),[9]データ貼り付けシート!$1:$2,2,FALSE)</f>
        <v>80</v>
      </c>
      <c r="E97" s="96"/>
    </row>
    <row r="98" spans="1:5" x14ac:dyDescent="0.4">
      <c r="A98" s="97" t="s">
        <v>99</v>
      </c>
      <c r="B98" s="98">
        <f>HLOOKUP(SUBSTITUTE(CONCATENATE(SUBSTITUTE(SUBSTITUTE(A98,"歳","")," ",""),"_男")," ",""),[9]データ貼り付けシート!$1:$2,2,FALSE)</f>
        <v>11</v>
      </c>
      <c r="C98" s="98">
        <f>HLOOKUP(SUBSTITUTE(CONCATENATE(SUBSTITUTE(SUBSTITUTE(A98,"歳","")," ",""),"_女")," ",""),[9]データ貼り付けシート!$1:$2,2,FALSE)</f>
        <v>48</v>
      </c>
      <c r="D98" s="98">
        <f>HLOOKUP(SUBSTITUTE(CONCATENATE(SUBSTITUTE(SUBSTITUTE(A98,"歳","")," ",""),"_全体")," ",""),[9]データ貼り付けシート!$1:$2,2,FALSE)</f>
        <v>59</v>
      </c>
      <c r="E98" s="96"/>
    </row>
    <row r="99" spans="1:5" x14ac:dyDescent="0.4">
      <c r="A99" s="97" t="s">
        <v>100</v>
      </c>
      <c r="B99" s="98">
        <f>HLOOKUP(SUBSTITUTE(CONCATENATE(SUBSTITUTE(SUBSTITUTE(A99,"歳","")," ",""),"_男")," ",""),[9]データ貼り付けシート!$1:$2,2,FALSE)</f>
        <v>5</v>
      </c>
      <c r="C99" s="98">
        <f>HLOOKUP(SUBSTITUTE(CONCATENATE(SUBSTITUTE(SUBSTITUTE(A99,"歳","")," ",""),"_女")," ",""),[9]データ貼り付けシート!$1:$2,2,FALSE)</f>
        <v>36</v>
      </c>
      <c r="D99" s="98">
        <f>HLOOKUP(SUBSTITUTE(CONCATENATE(SUBSTITUTE(SUBSTITUTE(A99,"歳","")," ",""),"_全体")," ",""),[9]データ貼り付けシート!$1:$2,2,FALSE)</f>
        <v>41</v>
      </c>
      <c r="E99" s="96"/>
    </row>
    <row r="100" spans="1:5" x14ac:dyDescent="0.4">
      <c r="A100" s="97" t="s">
        <v>101</v>
      </c>
      <c r="B100" s="98">
        <f>HLOOKUP(SUBSTITUTE(CONCATENATE(SUBSTITUTE(SUBSTITUTE(A100,"歳","")," ",""),"_男")," ",""),[9]データ貼り付けシート!$1:$2,2,FALSE)</f>
        <v>7</v>
      </c>
      <c r="C100" s="98">
        <f>HLOOKUP(SUBSTITUTE(CONCATENATE(SUBSTITUTE(SUBSTITUTE(A100,"歳","")," ",""),"_女")," ",""),[9]データ貼り付けシート!$1:$2,2,FALSE)</f>
        <v>36</v>
      </c>
      <c r="D100" s="98">
        <f>HLOOKUP(SUBSTITUTE(CONCATENATE(SUBSTITUTE(SUBSTITUTE(A100,"歳","")," ",""),"_全体")," ",""),[9]データ貼り付けシート!$1:$2,2,FALSE)</f>
        <v>43</v>
      </c>
      <c r="E100" s="96"/>
    </row>
    <row r="101" spans="1:5" x14ac:dyDescent="0.4">
      <c r="A101" s="97" t="s">
        <v>102</v>
      </c>
      <c r="B101" s="98">
        <f>HLOOKUP(SUBSTITUTE(CONCATENATE(SUBSTITUTE(SUBSTITUTE(A101,"歳","")," ",""),"_男")," ",""),[9]データ貼り付けシート!$1:$2,2,FALSE)</f>
        <v>2</v>
      </c>
      <c r="C101" s="98">
        <f>HLOOKUP(SUBSTITUTE(CONCATENATE(SUBSTITUTE(SUBSTITUTE(A101,"歳","")," ",""),"_女")," ",""),[9]データ貼り付けシート!$1:$2,2,FALSE)</f>
        <v>13</v>
      </c>
      <c r="D101" s="98">
        <f>HLOOKUP(SUBSTITUTE(CONCATENATE(SUBSTITUTE(SUBSTITUTE(A101,"歳","")," ",""),"_全体")," ",""),[9]データ貼り付けシート!$1:$2,2,FALSE)</f>
        <v>15</v>
      </c>
      <c r="E101" s="96"/>
    </row>
    <row r="102" spans="1:5" x14ac:dyDescent="0.4">
      <c r="A102" s="97" t="s">
        <v>103</v>
      </c>
      <c r="B102" s="98">
        <f>HLOOKUP(SUBSTITUTE(CONCATENATE(SUBSTITUTE(SUBSTITUTE(A102,"歳","")," ",""),"_男")," ",""),[9]データ貼り付けシート!$1:$2,2,FALSE)</f>
        <v>3</v>
      </c>
      <c r="C102" s="98">
        <f>HLOOKUP(SUBSTITUTE(CONCATENATE(SUBSTITUTE(SUBSTITUTE(A102,"歳","")," ",""),"_女")," ",""),[9]データ貼り付けシート!$1:$2,2,FALSE)</f>
        <v>24</v>
      </c>
      <c r="D102" s="98">
        <f>HLOOKUP(SUBSTITUTE(CONCATENATE(SUBSTITUTE(SUBSTITUTE(A102,"歳","")," ",""),"_全体")," ",""),[9]データ貼り付けシート!$1:$2,2,FALSE)</f>
        <v>27</v>
      </c>
      <c r="E102" s="96"/>
    </row>
    <row r="103" spans="1:5" x14ac:dyDescent="0.4">
      <c r="A103" s="97" t="s">
        <v>104</v>
      </c>
      <c r="B103" s="98">
        <f>HLOOKUP(SUBSTITUTE(CONCATENATE(SUBSTITUTE(SUBSTITUTE(A103,"歳","")," ",""),"_男")," ",""),[9]データ貼り付けシート!$1:$2,2,FALSE)</f>
        <v>0</v>
      </c>
      <c r="C103" s="98">
        <f>HLOOKUP(SUBSTITUTE(CONCATENATE(SUBSTITUTE(SUBSTITUTE(A103,"歳","")," ",""),"_女")," ",""),[9]データ貼り付けシート!$1:$2,2,FALSE)</f>
        <v>8</v>
      </c>
      <c r="D103" s="98">
        <f>HLOOKUP(SUBSTITUTE(CONCATENATE(SUBSTITUTE(SUBSTITUTE(A103,"歳","")," ",""),"_全体")," ",""),[9]データ貼り付けシート!$1:$2,2,FALSE)</f>
        <v>8</v>
      </c>
      <c r="E103" s="96"/>
    </row>
    <row r="104" spans="1:5" x14ac:dyDescent="0.4">
      <c r="A104" s="97" t="s">
        <v>105</v>
      </c>
      <c r="B104" s="98">
        <f>HLOOKUP(SUBSTITUTE(CONCATENATE(SUBSTITUTE(SUBSTITUTE(A104,"歳","")," ",""),"_男")," ",""),[9]データ貼り付けシート!$1:$2,2,FALSE)</f>
        <v>1</v>
      </c>
      <c r="C104" s="98">
        <f>HLOOKUP(SUBSTITUTE(CONCATENATE(SUBSTITUTE(SUBSTITUTE(A104,"歳","")," ",""),"_女")," ",""),[9]データ貼り付けシート!$1:$2,2,FALSE)</f>
        <v>3</v>
      </c>
      <c r="D104" s="98">
        <f>HLOOKUP(SUBSTITUTE(CONCATENATE(SUBSTITUTE(SUBSTITUTE(A104,"歳","")," ",""),"_全体")," ",""),[9]データ貼り付けシート!$1:$2,2,FALSE)</f>
        <v>4</v>
      </c>
      <c r="E104" s="96"/>
    </row>
    <row r="105" spans="1:5" x14ac:dyDescent="0.4">
      <c r="A105" s="97" t="s">
        <v>106</v>
      </c>
      <c r="B105" s="98">
        <f>HLOOKUP(SUBSTITUTE(CONCATENATE(SUBSTITUTE(SUBSTITUTE(A105,"歳","")," ",""),"_男")," ",""),[9]データ貼り付けシート!$1:$2,2,FALSE)</f>
        <v>0</v>
      </c>
      <c r="C105" s="98">
        <f>HLOOKUP(SUBSTITUTE(CONCATENATE(SUBSTITUTE(SUBSTITUTE(A105,"歳","")," ",""),"_女")," ",""),[9]データ貼り付けシート!$1:$2,2,FALSE)</f>
        <v>1</v>
      </c>
      <c r="D105" s="98">
        <f>HLOOKUP(SUBSTITUTE(CONCATENATE(SUBSTITUTE(SUBSTITUTE(A105,"歳","")," ",""),"_全体")," ",""),[9]データ貼り付けシート!$1:$2,2,FALSE)</f>
        <v>1</v>
      </c>
      <c r="E105" s="96"/>
    </row>
    <row r="106" spans="1:5" x14ac:dyDescent="0.4">
      <c r="A106" s="97" t="s">
        <v>107</v>
      </c>
      <c r="B106" s="98">
        <f>HLOOKUP(SUBSTITUTE(CONCATENATE(SUBSTITUTE(SUBSTITUTE(A106,"歳","")," ",""),"_男")," ",""),[9]データ貼り付けシート!$1:$2,2,FALSE)</f>
        <v>1</v>
      </c>
      <c r="C106" s="98">
        <f>HLOOKUP(SUBSTITUTE(CONCATENATE(SUBSTITUTE(SUBSTITUTE(A106,"歳","")," ",""),"_女")," ",""),[9]データ貼り付けシート!$1:$2,2,FALSE)</f>
        <v>3</v>
      </c>
      <c r="D106" s="98">
        <f>HLOOKUP(SUBSTITUTE(CONCATENATE(SUBSTITUTE(SUBSTITUTE(A106,"歳","")," ",""),"_全体")," ",""),[9]データ貼り付けシート!$1:$2,2,FALSE)</f>
        <v>4</v>
      </c>
      <c r="E106" s="96"/>
    </row>
    <row r="107" spans="1:5" x14ac:dyDescent="0.4">
      <c r="A107" s="97" t="s">
        <v>108</v>
      </c>
      <c r="B107" s="98">
        <f>HLOOKUP(SUBSTITUTE(CONCATENATE(SUBSTITUTE(SUBSTITUTE(A107,"歳","")," ",""),"_男")," ",""),[9]データ貼り付けシート!$1:$2,2,FALSE)</f>
        <v>0</v>
      </c>
      <c r="C107" s="98">
        <f>HLOOKUP(SUBSTITUTE(CONCATENATE(SUBSTITUTE(SUBSTITUTE(A107,"歳","")," ",""),"_女")," ",""),[9]データ貼り付けシート!$1:$2,2,FALSE)</f>
        <v>3</v>
      </c>
      <c r="D107" s="98">
        <f>HLOOKUP(SUBSTITUTE(CONCATENATE(SUBSTITUTE(SUBSTITUTE(A107,"歳","")," ",""),"_全体")," ",""),[9]データ貼り付けシート!$1:$2,2,FALSE)</f>
        <v>3</v>
      </c>
      <c r="E107" s="96"/>
    </row>
    <row r="108" spans="1:5" x14ac:dyDescent="0.4">
      <c r="A108" s="97" t="s">
        <v>137</v>
      </c>
      <c r="B108" s="98">
        <f>IF(ISERROR(HLOOKUP("105以上_男",[9]データ貼り付けシート!$1:$2,2,FALSE)),0,HLOOKUP("105以上_男",[9]データ貼り付けシート!$1:$2,2,FALSE))+IF(ISERROR(HLOOKUP("105_男",[9]データ貼り付けシート!$1:$2,2,FALSE)),0,HLOOKUP("105_男",[9]データ貼り付けシート!$1:$2,2,FALSE))</f>
        <v>0</v>
      </c>
      <c r="C108" s="98">
        <f>IF(ISERROR(HLOOKUP("105以上_女",[9]データ貼り付けシート!$1:$2,2,FALSE)),0,HLOOKUP("105以上_女",[9]データ貼り付けシート!$1:$2,2,FALSE))+IF(ISERROR(HLOOKUP("105_女",[9]データ貼り付けシート!$1:$2,2,FALSE)),0,HLOOKUP("105_女",[9]データ貼り付けシート!$1:$2,2,FALSE))</f>
        <v>0</v>
      </c>
      <c r="D108" s="98">
        <f>B108+C108</f>
        <v>0</v>
      </c>
      <c r="E108" s="96"/>
    </row>
    <row r="109" spans="1:5" x14ac:dyDescent="0.4">
      <c r="A109" s="97" t="s">
        <v>110</v>
      </c>
      <c r="B109" s="98">
        <f>IF(ISERROR(HLOOKUP("106以上_男",[9]データ貼り付けシート!$1:$2,2,FALSE)),0,HLOOKUP("106以上_男",[9]データ貼り付けシート!$1:$2,2,FALSE))+IF(ISERROR(HLOOKUP("106_男",[9]データ貼り付けシート!$1:$2,2,FALSE)),0,HLOOKUP("106_男",[9]データ貼り付けシート!$1:$2,2,FALSE))</f>
        <v>0</v>
      </c>
      <c r="C109" s="98">
        <v>0</v>
      </c>
      <c r="D109" s="98">
        <v>0</v>
      </c>
      <c r="E109" s="96"/>
    </row>
    <row r="110" spans="1:5" x14ac:dyDescent="0.4">
      <c r="A110" s="97" t="s">
        <v>111</v>
      </c>
      <c r="B110" s="98">
        <f>IF(ISERROR(HLOOKUP("107以上_男",[9]データ貼り付けシート!$1:$2,2,FALSE)),0,HLOOKUP("107以上_男",[9]データ貼り付けシート!$1:$2,2,FALSE))+IF(ISERROR(HLOOKUP("107_男",[9]データ貼り付けシート!$1:$2,2,FALSE)),0,HLOOKUP("107_男",[9]データ貼り付けシート!$1:$2,2,FALSE))</f>
        <v>0</v>
      </c>
      <c r="C110" s="98">
        <v>1</v>
      </c>
      <c r="D110" s="98">
        <v>1</v>
      </c>
      <c r="E110" s="96"/>
    </row>
    <row r="111" spans="1:5" x14ac:dyDescent="0.4">
      <c r="A111" s="97" t="s">
        <v>112</v>
      </c>
      <c r="B111" s="98">
        <f>IF(ISERROR(HLOOKUP("108以上_男",[9]データ貼り付けシート!$1:$2,2,FALSE)),0,HLOOKUP("108以上_男",[9]データ貼り付けシート!$1:$2,2,FALSE))+IF(ISERROR(HLOOKUP("108_男",[9]データ貼り付けシート!$1:$2,2,FALSE)),0,HLOOKUP("108_男",[9]データ貼り付けシート!$1:$2,2,FALSE))</f>
        <v>0</v>
      </c>
      <c r="C111" s="98">
        <f>IF(ISERROR(HLOOKUP("108以上_女",[9]データ貼り付けシート!$1:$2,2,FALSE)),0,HLOOKUP("108以上_女",[9]データ貼り付けシート!$1:$2,2,FALSE))+IF(ISERROR(HLOOKUP("108_女",[9]データ貼り付けシート!$1:$2,2,FALSE)),0,HLOOKUP("108_女",[9]データ貼り付けシート!$1:$2,2,FALSE))</f>
        <v>0</v>
      </c>
      <c r="D111" s="98">
        <f t="shared" ref="D111:D113" si="0">B111+C111</f>
        <v>0</v>
      </c>
      <c r="E111" s="96"/>
    </row>
    <row r="112" spans="1:5" x14ac:dyDescent="0.4">
      <c r="A112" s="97" t="s">
        <v>131</v>
      </c>
      <c r="B112" s="98">
        <f>IF(ISERROR(HLOOKUP("109以上_男",[9]データ貼り付けシート!$1:$2,2,FALSE)),0,HLOOKUP("109以上_男",[9]データ貼り付けシート!$1:$2,2,FALSE))+IF(ISERROR(HLOOKUP("109_男",[9]データ貼り付けシート!$1:$2,2,FALSE)),0,HLOOKUP("109_男",[9]データ貼り付けシート!$1:$2,2,FALSE))</f>
        <v>0</v>
      </c>
      <c r="C112" s="98">
        <f>IF(ISERROR(HLOOKUP("109以上_女",[9]データ貼り付けシート!$1:$2,2,FALSE)),0,HLOOKUP("109以上_女",[9]データ貼り付けシート!$1:$2,2,FALSE))+IF(ISERROR(HLOOKUP("109_女",[9]データ貼り付けシート!$1:$2,2,FALSE)),0,HLOOKUP("109_女",[9]データ貼り付けシート!$1:$2,2,FALSE))</f>
        <v>0</v>
      </c>
      <c r="D112" s="98">
        <f t="shared" si="0"/>
        <v>0</v>
      </c>
      <c r="E112" s="96"/>
    </row>
    <row r="113" spans="1:5" x14ac:dyDescent="0.4">
      <c r="A113" s="97" t="s">
        <v>114</v>
      </c>
      <c r="B113" s="98">
        <f>IF(ISERROR(HLOOKUP("110以上_男",[9]データ貼り付けシート!$1:$2,2,FALSE)),0,HLOOKUP("110以上_男",[9]データ貼り付けシート!$1:$2,2,FALSE))+IF(ISERROR(HLOOKUP("110_男",[9]データ貼り付けシート!$1:$2,2,FALSE)),0,HLOOKUP("110_男",[9]データ貼り付けシート!$1:$2,2,FALSE))</f>
        <v>0</v>
      </c>
      <c r="C113" s="98">
        <f>IF(ISERROR(HLOOKUP("110以上_女",[9]データ貼り付けシート!$1:$2,2,FALSE)),0,HLOOKUP("107以上_女",[9]データ貼り付けシート!$1:$2,2,FALSE))+IF(ISERROR(HLOOKUP("110_女",[9]データ貼り付けシート!$1:$2,2,FALSE)),0,HLOOKUP("110_女",[9]データ貼り付けシート!$1:$2,2,FALSE))</f>
        <v>0</v>
      </c>
      <c r="D113" s="98">
        <f t="shared" si="0"/>
        <v>0</v>
      </c>
      <c r="E113" s="96"/>
    </row>
    <row r="114" spans="1:5" x14ac:dyDescent="0.4">
      <c r="A114" s="96"/>
      <c r="B114" s="99"/>
      <c r="C114" s="99"/>
      <c r="D114" s="99"/>
      <c r="E114" s="96"/>
    </row>
    <row r="115" spans="1:5" x14ac:dyDescent="0.4">
      <c r="A115" s="100" t="s">
        <v>0</v>
      </c>
      <c r="B115" s="100" t="s">
        <v>1</v>
      </c>
      <c r="C115" s="101" t="s">
        <v>2</v>
      </c>
      <c r="D115" s="95" t="s">
        <v>3</v>
      </c>
      <c r="E115" s="96"/>
    </row>
    <row r="116" spans="1:5" x14ac:dyDescent="0.4">
      <c r="A116" s="100" t="s">
        <v>115</v>
      </c>
      <c r="B116" s="102">
        <f>SUM(B3:B8)</f>
        <v>2364</v>
      </c>
      <c r="C116" s="103">
        <f>SUM(C3:C8)</f>
        <v>2258</v>
      </c>
      <c r="D116" s="98">
        <f>B116+C116</f>
        <v>4622</v>
      </c>
      <c r="E116" s="96"/>
    </row>
    <row r="117" spans="1:5" x14ac:dyDescent="0.4">
      <c r="A117" s="100" t="s">
        <v>116</v>
      </c>
      <c r="B117" s="102">
        <f>SUM(B9:B14)</f>
        <v>2188</v>
      </c>
      <c r="C117" s="102">
        <f>SUM(C9:C14)</f>
        <v>2093</v>
      </c>
      <c r="D117" s="98">
        <f>B117+C117</f>
        <v>4281</v>
      </c>
      <c r="E117" s="96"/>
    </row>
    <row r="118" spans="1:5" x14ac:dyDescent="0.4">
      <c r="A118" s="100" t="s">
        <v>117</v>
      </c>
      <c r="B118" s="102">
        <f>SUM(B15:B17)</f>
        <v>1177</v>
      </c>
      <c r="C118" s="102">
        <f>SUM(C15:C17)</f>
        <v>1095</v>
      </c>
      <c r="D118" s="98">
        <f>B118+C118</f>
        <v>2272</v>
      </c>
      <c r="E118" s="96"/>
    </row>
    <row r="119" spans="1:5" x14ac:dyDescent="0.4">
      <c r="A119" s="100" t="s">
        <v>118</v>
      </c>
      <c r="B119" s="102">
        <f>SUM(B116:B118)</f>
        <v>5729</v>
      </c>
      <c r="C119" s="102">
        <f>SUM(C116:C118)</f>
        <v>5446</v>
      </c>
      <c r="D119" s="102">
        <f>SUM(D116:D118)</f>
        <v>11175</v>
      </c>
      <c r="E119" s="104">
        <f>D119/D135</f>
        <v>0.12913551428868578</v>
      </c>
    </row>
    <row r="120" spans="1:5" x14ac:dyDescent="0.4">
      <c r="A120" s="96"/>
      <c r="B120" s="96"/>
      <c r="C120" s="96"/>
      <c r="D120" s="96"/>
      <c r="E120" s="96"/>
    </row>
    <row r="121" spans="1:5" x14ac:dyDescent="0.4">
      <c r="A121" s="95" t="s">
        <v>0</v>
      </c>
      <c r="B121" s="95" t="s">
        <v>1</v>
      </c>
      <c r="C121" s="95" t="s">
        <v>2</v>
      </c>
      <c r="D121" s="95" t="s">
        <v>3</v>
      </c>
      <c r="E121" s="96"/>
    </row>
    <row r="122" spans="1:5" x14ac:dyDescent="0.4">
      <c r="A122" s="95" t="s">
        <v>119</v>
      </c>
      <c r="B122" s="98">
        <f>SUM(B18:B20)</f>
        <v>1169</v>
      </c>
      <c r="C122" s="98">
        <f>SUM(C18:C20)</f>
        <v>1140</v>
      </c>
      <c r="D122" s="98">
        <f t="shared" ref="D122:D126" si="1">B122+C122</f>
        <v>2309</v>
      </c>
      <c r="E122" s="96"/>
    </row>
    <row r="123" spans="1:5" x14ac:dyDescent="0.4">
      <c r="A123" s="95" t="s">
        <v>120</v>
      </c>
      <c r="B123" s="98">
        <f>SUM(B21:B32)</f>
        <v>5963</v>
      </c>
      <c r="C123" s="98">
        <f>SUM(C21:C32)</f>
        <v>5490</v>
      </c>
      <c r="D123" s="98">
        <f t="shared" si="1"/>
        <v>11453</v>
      </c>
      <c r="E123" s="96"/>
    </row>
    <row r="124" spans="1:5" x14ac:dyDescent="0.4">
      <c r="A124" s="95" t="s">
        <v>121</v>
      </c>
      <c r="B124" s="98">
        <f>SUM(B33:B42)</f>
        <v>5633</v>
      </c>
      <c r="C124" s="98">
        <f>SUM(C33:C42)</f>
        <v>5354</v>
      </c>
      <c r="D124" s="98">
        <f t="shared" si="1"/>
        <v>10987</v>
      </c>
      <c r="E124" s="96"/>
    </row>
    <row r="125" spans="1:5" x14ac:dyDescent="0.4">
      <c r="A125" s="95" t="s">
        <v>122</v>
      </c>
      <c r="B125" s="98">
        <f>SUM(B43:B52)</f>
        <v>7283</v>
      </c>
      <c r="C125" s="98">
        <f>SUM(C43:C52)</f>
        <v>6694</v>
      </c>
      <c r="D125" s="98">
        <f t="shared" si="1"/>
        <v>13977</v>
      </c>
      <c r="E125" s="96"/>
    </row>
    <row r="126" spans="1:5" x14ac:dyDescent="0.4">
      <c r="A126" s="105" t="s">
        <v>123</v>
      </c>
      <c r="B126" s="98">
        <f>SUM(B53:B67)</f>
        <v>7536</v>
      </c>
      <c r="C126" s="98">
        <f>SUM(C53:C67)</f>
        <v>6972</v>
      </c>
      <c r="D126" s="98">
        <f t="shared" si="1"/>
        <v>14508</v>
      </c>
      <c r="E126" s="96"/>
    </row>
    <row r="127" spans="1:5" ht="24" x14ac:dyDescent="0.4">
      <c r="A127" s="100" t="s">
        <v>124</v>
      </c>
      <c r="B127" s="103">
        <f>SUM(B122:B126)</f>
        <v>27584</v>
      </c>
      <c r="C127" s="103">
        <f>SUM(C122:C126)</f>
        <v>25650</v>
      </c>
      <c r="D127" s="103">
        <f>SUM(D122:D126)</f>
        <v>53234</v>
      </c>
      <c r="E127" s="104">
        <f>D127/D135</f>
        <v>0.61515883379363745</v>
      </c>
    </row>
    <row r="128" spans="1:5" x14ac:dyDescent="0.4">
      <c r="A128" s="96"/>
      <c r="B128" s="96"/>
      <c r="C128" s="96"/>
      <c r="D128" s="96"/>
      <c r="E128" s="96"/>
    </row>
    <row r="129" spans="1:5" x14ac:dyDescent="0.4">
      <c r="A129" s="95" t="s">
        <v>0</v>
      </c>
      <c r="B129" s="95" t="s">
        <v>1</v>
      </c>
      <c r="C129" s="95" t="s">
        <v>2</v>
      </c>
      <c r="D129" s="95" t="s">
        <v>3</v>
      </c>
      <c r="E129" s="96"/>
    </row>
    <row r="130" spans="1:5" x14ac:dyDescent="0.4">
      <c r="A130" s="95" t="s">
        <v>125</v>
      </c>
      <c r="B130" s="98">
        <f>SUM(B68:B72)</f>
        <v>2436</v>
      </c>
      <c r="C130" s="98">
        <f>SUM(C68:C72)</f>
        <v>2752</v>
      </c>
      <c r="D130" s="98">
        <f t="shared" ref="D130:D131" si="2">B130+C130</f>
        <v>5188</v>
      </c>
      <c r="E130" s="96"/>
    </row>
    <row r="131" spans="1:5" x14ac:dyDescent="0.4">
      <c r="A131" s="105" t="s">
        <v>126</v>
      </c>
      <c r="B131" s="98">
        <f>SUM(B73:B113)</f>
        <v>7343</v>
      </c>
      <c r="C131" s="98">
        <f>SUM(C73:C113)</f>
        <v>9597</v>
      </c>
      <c r="D131" s="98">
        <f t="shared" si="2"/>
        <v>16940</v>
      </c>
      <c r="E131" s="96"/>
    </row>
    <row r="132" spans="1:5" x14ac:dyDescent="0.4">
      <c r="A132" s="100" t="s">
        <v>133</v>
      </c>
      <c r="B132" s="103">
        <f>SUM(B130:B131)</f>
        <v>9779</v>
      </c>
      <c r="C132" s="103">
        <f>SUM(C130:C131)</f>
        <v>12349</v>
      </c>
      <c r="D132" s="103">
        <f>SUM(D130:D131)</f>
        <v>22128</v>
      </c>
      <c r="E132" s="104">
        <f>D132/D135</f>
        <v>0.25570565191767686</v>
      </c>
    </row>
    <row r="133" spans="1:5" x14ac:dyDescent="0.4">
      <c r="A133" s="96"/>
      <c r="B133" s="96"/>
      <c r="C133" s="96"/>
      <c r="D133" s="96"/>
      <c r="E133" s="96"/>
    </row>
    <row r="134" spans="1:5" x14ac:dyDescent="0.4">
      <c r="A134" s="166" t="s">
        <v>128</v>
      </c>
      <c r="B134" s="95" t="s">
        <v>1</v>
      </c>
      <c r="C134" s="95" t="s">
        <v>2</v>
      </c>
      <c r="D134" s="95" t="s">
        <v>3</v>
      </c>
      <c r="E134" s="96"/>
    </row>
    <row r="135" spans="1:5" x14ac:dyDescent="0.4">
      <c r="A135" s="167"/>
      <c r="B135" s="98">
        <f>SUM(B3:B113)</f>
        <v>43092</v>
      </c>
      <c r="C135" s="98">
        <f>SUM(C3:C113)</f>
        <v>43445</v>
      </c>
      <c r="D135" s="98">
        <f>B135+C135</f>
        <v>86537</v>
      </c>
      <c r="E135" s="96"/>
    </row>
    <row r="137" spans="1:5" x14ac:dyDescent="0.4">
      <c r="A137" s="93" t="s">
        <v>129</v>
      </c>
    </row>
  </sheetData>
  <mergeCells count="2">
    <mergeCell ref="A1:E1"/>
    <mergeCell ref="A134:A135"/>
  </mergeCells>
  <phoneticPr fontId="1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H31.1</vt:lpstr>
      <vt:lpstr>H31.2</vt:lpstr>
      <vt:lpstr>H31.3</vt:lpstr>
      <vt:lpstr>H31.4</vt:lpstr>
      <vt:lpstr>R1.5</vt:lpstr>
      <vt:lpstr>R1.6</vt:lpstr>
      <vt:lpstr>R1.7</vt:lpstr>
      <vt:lpstr>R1.8</vt:lpstr>
      <vt:lpstr>R1.9</vt:lpstr>
      <vt:lpstr>R1.10</vt:lpstr>
      <vt:lpstr>R1.11</vt:lpstr>
      <vt:lpstr>R1.12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2022-02-04T02:41:13Z</dcterms:modified>
</cp:coreProperties>
</file>